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rchivos\grupo\indicadoreseconomicos\Ind.Econ\Ind.Econ\Laboral\"/>
    </mc:Choice>
  </mc:AlternateContent>
  <bookViews>
    <workbookView xWindow="0" yWindow="0" windowWidth="13215" windowHeight="6585"/>
  </bookViews>
  <sheets>
    <sheet name="Stock Empleados Registrados" sheetId="1" r:id="rId1"/>
    <sheet name="Evolución empleados registrados" sheetId="2" r:id="rId2"/>
  </sheets>
  <definedNames>
    <definedName name="_xlnm._FilterDatabase" localSheetId="0" hidden="1">'Stock Empleados Registrados'!$A$1:$O$148</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34" i="1" l="1"/>
  <c r="M135" i="1"/>
  <c r="L135" i="1"/>
  <c r="K135" i="1"/>
  <c r="J135" i="1"/>
  <c r="I135" i="1"/>
  <c r="H135" i="1"/>
  <c r="G135" i="1"/>
  <c r="F135" i="1"/>
  <c r="E135" i="1"/>
  <c r="D135" i="1"/>
  <c r="C135" i="1"/>
  <c r="B135" i="1"/>
  <c r="N135" i="1" s="1"/>
  <c r="N97" i="1" l="1"/>
  <c r="M120" i="1" l="1"/>
  <c r="M121" i="1" s="1"/>
  <c r="M122" i="1" s="1"/>
  <c r="M123" i="1" s="1"/>
  <c r="M124" i="1" s="1"/>
  <c r="M125" i="1" s="1"/>
  <c r="M126" i="1" s="1"/>
  <c r="M127" i="1" s="1"/>
  <c r="M128" i="1" s="1"/>
  <c r="M129" i="1" s="1"/>
  <c r="M130" i="1" s="1"/>
  <c r="M131" i="1" s="1"/>
  <c r="M132" i="1" s="1"/>
  <c r="M133" i="1" s="1"/>
  <c r="M134" i="1" s="1"/>
  <c r="L120" i="1"/>
  <c r="L121" i="1" s="1"/>
  <c r="L122" i="1" s="1"/>
  <c r="L123" i="1" s="1"/>
  <c r="L124" i="1" s="1"/>
  <c r="L125" i="1" s="1"/>
  <c r="L126" i="1" s="1"/>
  <c r="L127" i="1" s="1"/>
  <c r="L128" i="1" s="1"/>
  <c r="L129" i="1" s="1"/>
  <c r="L130" i="1" s="1"/>
  <c r="L131" i="1" s="1"/>
  <c r="L132" i="1" s="1"/>
  <c r="L133" i="1" s="1"/>
  <c r="L134" i="1" s="1"/>
  <c r="K120" i="1"/>
  <c r="K121" i="1" s="1"/>
  <c r="K122" i="1" s="1"/>
  <c r="K123" i="1" s="1"/>
  <c r="K124" i="1" s="1"/>
  <c r="K125" i="1" s="1"/>
  <c r="K126" i="1" s="1"/>
  <c r="K127" i="1" s="1"/>
  <c r="K128" i="1" s="1"/>
  <c r="K129" i="1" s="1"/>
  <c r="K130" i="1" s="1"/>
  <c r="K131" i="1" s="1"/>
  <c r="K132" i="1" s="1"/>
  <c r="K133" i="1" s="1"/>
  <c r="K134" i="1" s="1"/>
  <c r="J120" i="1"/>
  <c r="J121" i="1" s="1"/>
  <c r="J122" i="1" s="1"/>
  <c r="J123" i="1" s="1"/>
  <c r="J124" i="1" s="1"/>
  <c r="J125" i="1" s="1"/>
  <c r="J126" i="1" s="1"/>
  <c r="J127" i="1" s="1"/>
  <c r="J128" i="1" s="1"/>
  <c r="J129" i="1" s="1"/>
  <c r="J130" i="1" s="1"/>
  <c r="J131" i="1" s="1"/>
  <c r="J132" i="1" s="1"/>
  <c r="J133" i="1" s="1"/>
  <c r="J134" i="1" s="1"/>
  <c r="I120" i="1"/>
  <c r="I121" i="1" s="1"/>
  <c r="I122" i="1" s="1"/>
  <c r="I123" i="1" s="1"/>
  <c r="I124" i="1" s="1"/>
  <c r="I125" i="1" s="1"/>
  <c r="I126" i="1" s="1"/>
  <c r="I127" i="1" s="1"/>
  <c r="I128" i="1" s="1"/>
  <c r="I129" i="1" s="1"/>
  <c r="I130" i="1" s="1"/>
  <c r="I131" i="1" s="1"/>
  <c r="I132" i="1" s="1"/>
  <c r="I133" i="1" s="1"/>
  <c r="I134" i="1" s="1"/>
  <c r="H120" i="1"/>
  <c r="H121" i="1" s="1"/>
  <c r="H122" i="1" s="1"/>
  <c r="H123" i="1" s="1"/>
  <c r="H124" i="1" s="1"/>
  <c r="H125" i="1" s="1"/>
  <c r="H126" i="1" s="1"/>
  <c r="H127" i="1" s="1"/>
  <c r="H128" i="1" s="1"/>
  <c r="H129" i="1" s="1"/>
  <c r="H130" i="1" s="1"/>
  <c r="H131" i="1" s="1"/>
  <c r="H132" i="1" s="1"/>
  <c r="H133" i="1" s="1"/>
  <c r="H134" i="1" s="1"/>
  <c r="G120" i="1"/>
  <c r="G121" i="1" s="1"/>
  <c r="G122" i="1" s="1"/>
  <c r="G123" i="1" s="1"/>
  <c r="G124" i="1" s="1"/>
  <c r="G125" i="1" s="1"/>
  <c r="G126" i="1" s="1"/>
  <c r="G127" i="1" s="1"/>
  <c r="G128" i="1" s="1"/>
  <c r="G129" i="1" s="1"/>
  <c r="G130" i="1" s="1"/>
  <c r="G131" i="1" s="1"/>
  <c r="G132" i="1" s="1"/>
  <c r="G133" i="1" s="1"/>
  <c r="G134" i="1" s="1"/>
  <c r="F120" i="1"/>
  <c r="F121" i="1" s="1"/>
  <c r="F122" i="1" s="1"/>
  <c r="F123" i="1" s="1"/>
  <c r="F124" i="1" s="1"/>
  <c r="F125" i="1" s="1"/>
  <c r="F126" i="1" s="1"/>
  <c r="F127" i="1" s="1"/>
  <c r="F128" i="1" s="1"/>
  <c r="F129" i="1" s="1"/>
  <c r="F130" i="1" s="1"/>
  <c r="F131" i="1" s="1"/>
  <c r="F132" i="1" s="1"/>
  <c r="F133" i="1" s="1"/>
  <c r="F134" i="1" s="1"/>
  <c r="E120" i="1"/>
  <c r="E121" i="1" s="1"/>
  <c r="E122" i="1" s="1"/>
  <c r="E123" i="1" s="1"/>
  <c r="E124" i="1" s="1"/>
  <c r="E125" i="1" s="1"/>
  <c r="E126" i="1" s="1"/>
  <c r="E127" i="1" s="1"/>
  <c r="E128" i="1" s="1"/>
  <c r="E129" i="1" s="1"/>
  <c r="E130" i="1" s="1"/>
  <c r="E131" i="1" s="1"/>
  <c r="E132" i="1" s="1"/>
  <c r="E133" i="1" s="1"/>
  <c r="E134" i="1" s="1"/>
  <c r="D120" i="1"/>
  <c r="D121" i="1" s="1"/>
  <c r="D122" i="1" s="1"/>
  <c r="D123" i="1" s="1"/>
  <c r="D124" i="1" s="1"/>
  <c r="D125" i="1" s="1"/>
  <c r="D126" i="1" s="1"/>
  <c r="D127" i="1" s="1"/>
  <c r="D128" i="1" s="1"/>
  <c r="D129" i="1" s="1"/>
  <c r="D130" i="1" s="1"/>
  <c r="D131" i="1" s="1"/>
  <c r="D132" i="1" s="1"/>
  <c r="D133" i="1" s="1"/>
  <c r="D134" i="1" s="1"/>
  <c r="C120" i="1"/>
  <c r="C121" i="1" s="1"/>
  <c r="C122" i="1" s="1"/>
  <c r="C123" i="1" s="1"/>
  <c r="C124" i="1" s="1"/>
  <c r="C125" i="1" s="1"/>
  <c r="C126" i="1" s="1"/>
  <c r="C127" i="1" s="1"/>
  <c r="C128" i="1" s="1"/>
  <c r="C129" i="1" s="1"/>
  <c r="C130" i="1" s="1"/>
  <c r="C131" i="1" s="1"/>
  <c r="C132" i="1" s="1"/>
  <c r="C133" i="1" s="1"/>
  <c r="C134" i="1" s="1"/>
  <c r="B120" i="1"/>
  <c r="B121" i="1" s="1"/>
  <c r="N119" i="1"/>
  <c r="B122" i="1" l="1"/>
  <c r="N121" i="1"/>
  <c r="N120" i="1"/>
  <c r="O120" i="1" s="1"/>
  <c r="O121" i="1" l="1"/>
  <c r="N122" i="1"/>
  <c r="O122" i="1" s="1"/>
  <c r="B123" i="1"/>
  <c r="B124" i="1" l="1"/>
  <c r="N123" i="1"/>
  <c r="O123" i="1" s="1"/>
  <c r="M114" i="1"/>
  <c r="M115" i="1" s="1"/>
  <c r="M116" i="1" s="1"/>
  <c r="M117" i="1" s="1"/>
  <c r="M118" i="1" s="1"/>
  <c r="L114" i="1"/>
  <c r="L115" i="1" s="1"/>
  <c r="L116" i="1" s="1"/>
  <c r="L117" i="1" s="1"/>
  <c r="L118" i="1" s="1"/>
  <c r="K114" i="1"/>
  <c r="K115" i="1" s="1"/>
  <c r="K116" i="1" s="1"/>
  <c r="K117" i="1" s="1"/>
  <c r="K118" i="1" s="1"/>
  <c r="J114" i="1"/>
  <c r="J115" i="1" s="1"/>
  <c r="J116" i="1" s="1"/>
  <c r="J117" i="1" s="1"/>
  <c r="J118" i="1" s="1"/>
  <c r="I114" i="1"/>
  <c r="I115" i="1" s="1"/>
  <c r="I116" i="1" s="1"/>
  <c r="I117" i="1" s="1"/>
  <c r="I118" i="1" s="1"/>
  <c r="H114" i="1"/>
  <c r="H115" i="1" s="1"/>
  <c r="H116" i="1" s="1"/>
  <c r="H117" i="1" s="1"/>
  <c r="H118" i="1" s="1"/>
  <c r="G114" i="1"/>
  <c r="G115" i="1" s="1"/>
  <c r="G116" i="1" s="1"/>
  <c r="G117" i="1" s="1"/>
  <c r="G118" i="1" s="1"/>
  <c r="F114" i="1"/>
  <c r="F115" i="1" s="1"/>
  <c r="F116" i="1" s="1"/>
  <c r="F117" i="1" s="1"/>
  <c r="F118" i="1" s="1"/>
  <c r="E114" i="1"/>
  <c r="E115" i="1" s="1"/>
  <c r="E116" i="1" s="1"/>
  <c r="E117" i="1" s="1"/>
  <c r="E118" i="1" s="1"/>
  <c r="D114" i="1"/>
  <c r="D115" i="1" s="1"/>
  <c r="D116" i="1" s="1"/>
  <c r="D117" i="1" s="1"/>
  <c r="D118" i="1" s="1"/>
  <c r="C114" i="1"/>
  <c r="C115" i="1" s="1"/>
  <c r="C116" i="1" s="1"/>
  <c r="C117" i="1" s="1"/>
  <c r="C118" i="1" s="1"/>
  <c r="B114" i="1"/>
  <c r="N113" i="1"/>
  <c r="N112" i="1"/>
  <c r="N111" i="1"/>
  <c r="N110" i="1"/>
  <c r="N109" i="1"/>
  <c r="N108" i="1"/>
  <c r="N107" i="1"/>
  <c r="N106" i="1"/>
  <c r="N105" i="1"/>
  <c r="N104" i="1"/>
  <c r="N103" i="1"/>
  <c r="N102" i="1"/>
  <c r="N101" i="1"/>
  <c r="N100" i="1"/>
  <c r="N99" i="1"/>
  <c r="N98"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98" i="1" l="1"/>
  <c r="O102" i="1"/>
  <c r="O106" i="1"/>
  <c r="O110" i="1"/>
  <c r="O100" i="1"/>
  <c r="O104" i="1"/>
  <c r="B125" i="1"/>
  <c r="N124" i="1"/>
  <c r="O124" i="1" s="1"/>
  <c r="N114" i="1"/>
  <c r="O114" i="1" s="1"/>
  <c r="B115" i="1"/>
  <c r="B116" i="1" s="1"/>
  <c r="N116" i="1" s="1"/>
  <c r="O108" i="1"/>
  <c r="O112" i="1"/>
  <c r="O113" i="1"/>
  <c r="O97" i="1"/>
  <c r="O99" i="1"/>
  <c r="O101" i="1"/>
  <c r="O103" i="1"/>
  <c r="O105" i="1"/>
  <c r="O107" i="1"/>
  <c r="O109" i="1"/>
  <c r="O111" i="1"/>
  <c r="N115" i="1" l="1"/>
  <c r="O115" i="1" s="1"/>
  <c r="B117" i="1"/>
  <c r="N117" i="1" s="1"/>
  <c r="O117" i="1" s="1"/>
  <c r="B126" i="1"/>
  <c r="N125" i="1"/>
  <c r="O125" i="1" s="1"/>
  <c r="B118" i="1" l="1"/>
  <c r="N118" i="1" s="1"/>
  <c r="O118" i="1" s="1"/>
  <c r="O116" i="1"/>
  <c r="B127" i="1"/>
  <c r="N126" i="1"/>
  <c r="O126" i="1" s="1"/>
  <c r="O119" i="1" l="1"/>
  <c r="B128" i="1"/>
  <c r="N127" i="1"/>
  <c r="O127" i="1" s="1"/>
  <c r="B129" i="1" l="1"/>
  <c r="N128" i="1"/>
  <c r="O128" i="1" s="1"/>
  <c r="B130" i="1" l="1"/>
  <c r="N130" i="1" s="1"/>
  <c r="N129" i="1"/>
  <c r="O129" i="1" s="1"/>
  <c r="O130" i="1" l="1"/>
  <c r="B131" i="1"/>
  <c r="N131" i="1" l="1"/>
  <c r="O131" i="1" s="1"/>
  <c r="B132" i="1"/>
  <c r="N132" i="1" l="1"/>
  <c r="O132" i="1" s="1"/>
  <c r="B133" i="1"/>
  <c r="N134" i="1" l="1"/>
  <c r="O135" i="1" s="1"/>
  <c r="N133" i="1"/>
  <c r="O134" i="1" l="1"/>
  <c r="O133" i="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<sst xmlns="http://schemas.openxmlformats.org/spreadsheetml/2006/main" count="20" uniqueCount="20">
  <si>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</si>
  <si>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</si>
  <si>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</si>
  <si>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</si>
  <si>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</si>
  <si>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</si>
  <si>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</si>
  <si>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</si>
  <si>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</si>
  <si>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</si>
  <si>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</si>
  <si>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</si>
  <si>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</si>
  <si>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</si>
  <si>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</si>
  <si>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</si>
  <si>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</si>
  <si>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t>Fuente: Administración Federal De Ingresos Públicos (AFIP)</t>
  </si>
  <si>
    <r>
      <rPr>
        <b/>
        <sz val="10"/>
        <color theme="1"/>
        <rFont val="Calibri"/>
        <family val="2"/>
        <scheme val="minor"/>
      </rPr>
      <t>Nota:</t>
    </r>
    <r>
      <rPr>
        <sz val="10"/>
        <color theme="1"/>
        <rFont val="Calibri"/>
        <family val="2"/>
        <scheme val="minor"/>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</si>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</sst>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0" fillId="2" borderId="0" xfId="0" applyFill="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wrapText="1"/>
    </xf>
    <xf numFmtId="0" fontId="5" fillId="2" borderId="4" xfId="0" applyFont="1" applyFill="1" applyBorder="1" applyAlignment="1" applyProtection="1">
      <alignment horizontal="center" vertical="center" wrapText="1"/>
      <protection locked="0"/>
    </xf>
    <xf numFmtId="0" fontId="5" fillId="2" borderId="4" xfId="0" applyFont="1" applyFill="1" applyBorder="1" applyAlignment="1">
      <alignment horizontal="center" vertical="center" wrapText="1"/>
    </xf>
    <xf numFmtId="0" fontId="0" fillId="0" borderId="0" xfId="0" applyAlignment="1">
      <alignment horizontal="center"/>
    </xf>
    <xf numFmtId="0" fontId="0" fillId="0" borderId="4" xfId="0" applyBorder="1" applyAlignment="1">
      <alignment horizontal="center"/>
    </xf>
    <xf numFmtId="0" fontId="7" fillId="2" borderId="2" xfId="0" applyFont="1" applyFill="1" applyBorder="1" applyAlignment="1">
      <alignment vertical="center"/>
    </xf>
    <xf numFmtId="0" fontId="7" fillId="2" borderId="0" xfId="0" applyFont="1" applyFill="1" applyAlignment="1">
      <alignment vertical="center"/>
    </xf>
    <xf numFmtId="17" fontId="5" fillId="2" borderId="0" xfId="0" applyNumberFormat="1" applyFont="1" applyFill="1" applyAlignment="1" applyProtection="1">
      <alignment horizontal="left" vertical="center" indent="3"/>
      <protection locked="0"/>
    </xf>
    <xf numFmtId="3" fontId="8"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0" fillId="0" borderId="0" xfId="0" applyAlignment="1">
      <alignment vertical="center"/>
    </xf>
    <xf numFmtId="10" fontId="5" fillId="2" borderId="0" xfId="1" applyNumberFormat="1" applyFont="1" applyFill="1" applyBorder="1" applyAlignment="1">
      <alignment horizontal="center" vertical="center"/>
    </xf>
    <xf numFmtId="10" fontId="2" fillId="2" borderId="0" xfId="1" applyNumberFormat="1" applyFont="1" applyFill="1" applyBorder="1" applyAlignment="1">
      <alignment horizontal="center" vertical="center"/>
    </xf>
    <xf numFmtId="3" fontId="8" fillId="2" borderId="0" xfId="0" applyNumberFormat="1" applyFont="1" applyFill="1" applyAlignment="1">
      <alignment horizontal="center" vertical="center" wrapText="1"/>
    </xf>
    <xf numFmtId="3" fontId="5" fillId="2" borderId="0" xfId="0" applyNumberFormat="1" applyFont="1" applyFill="1" applyAlignment="1">
      <alignment horizontal="center" vertical="center" wrapText="1"/>
    </xf>
    <xf numFmtId="10" fontId="5" fillId="2" borderId="0" xfId="1" applyNumberFormat="1" applyFont="1" applyFill="1" applyBorder="1" applyAlignment="1">
      <alignment horizontal="center" vertical="center" wrapText="1"/>
    </xf>
    <xf numFmtId="3" fontId="8" fillId="2" borderId="0" xfId="0" applyNumberFormat="1" applyFont="1" applyFill="1" applyAlignment="1" applyProtection="1">
      <alignment horizontal="center" vertical="center"/>
      <protection locked="0"/>
    </xf>
    <xf numFmtId="0" fontId="8" fillId="2" borderId="0" xfId="0" applyFont="1" applyFill="1" applyAlignment="1">
      <alignment vertical="center"/>
    </xf>
    <xf numFmtId="0" fontId="8" fillId="0" borderId="0" xfId="0" applyFont="1"/>
    <xf numFmtId="0" fontId="5" fillId="2" borderId="0" xfId="0" applyFont="1" applyFill="1" applyAlignment="1">
      <alignment horizontal="left" vertical="center" indent="3"/>
    </xf>
    <xf numFmtId="0" fontId="2" fillId="2" borderId="0" xfId="0" applyFont="1" applyFill="1" applyAlignment="1">
      <alignment horizontal="left" vertical="center" indent="3"/>
    </xf>
    <xf numFmtId="0" fontId="6"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horizontal="left" vertical="top"/>
    </xf>
    <xf numFmtId="0" fontId="5" fillId="2" borderId="0" xfId="0" applyFont="1" applyFill="1" applyAlignment="1">
      <alignment horizontal="left" vertical="center"/>
    </xf>
    <xf numFmtId="0" fontId="8" fillId="2" borderId="0" xfId="0" applyFont="1" applyFill="1" applyAlignment="1">
      <alignment horizontal="left" vertical="top" wrapText="1"/>
    </xf>
    <xf numFmtId="17" fontId="5" fillId="2" borderId="0" xfId="0" applyNumberFormat="1" applyFont="1" applyFill="1" applyBorder="1" applyAlignment="1" applyProtection="1">
      <alignment horizontal="left" vertical="center" indent="3"/>
      <protection locked="0"/>
    </xf>
    <xf numFmtId="3"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wrapText="1"/>
    </xf>
    <xf numFmtId="0" fontId="0" fillId="0" borderId="0" xfId="0" applyBorder="1" applyAlignment="1">
      <alignment vertical="center"/>
    </xf>
    <xf numFmtId="0" fontId="4" fillId="2" borderId="0" xfId="0" applyFont="1" applyFill="1" applyBorder="1" applyAlignment="1">
      <alignment horizontal="left" vertical="center" wrapText="1"/>
    </xf>
    <xf numFmtId="0" fontId="3" fillId="2" borderId="3" xfId="0" applyFont="1" applyFill="1" applyBorder="1" applyAlignment="1">
      <alignment horizontal="left" vertical="center" wrapText="1" indent="3"/>
    </xf>
    <xf numFmtId="0" fontId="4" fillId="2" borderId="3" xfId="0" applyFont="1" applyFill="1" applyBorder="1" applyAlignment="1">
      <alignment horizontal="left" vertical="center" wrapText="1"/>
    </xf>
    <xf numFmtId="0" fontId="0" fillId="0" borderId="3" xfId="0"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Diciembre 2011- Julio 2022</a:t>
            </a:r>
          </a:p>
        </c:rich>
      </c:tx>
      <c:layout>
        <c:manualLayout>
          <c:xMode val="edge"/>
          <c:yMode val="edge"/>
          <c:x val="0.34316700137253486"/>
          <c:y val="1.21263161110999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Registrados'!$A$6:$A$135</c:f>
              <c:numCache>
                <c:formatCode>mmm\-yy</c:formatCode>
                <c:ptCount val="130"/>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pt idx="113">
                  <c:v>44317</c:v>
                </c:pt>
                <c:pt idx="114">
                  <c:v>44348</c:v>
                </c:pt>
                <c:pt idx="115">
                  <c:v>44378</c:v>
                </c:pt>
                <c:pt idx="116">
                  <c:v>44409</c:v>
                </c:pt>
                <c:pt idx="117">
                  <c:v>44440</c:v>
                </c:pt>
                <c:pt idx="118">
                  <c:v>44470</c:v>
                </c:pt>
                <c:pt idx="119">
                  <c:v>44501</c:v>
                </c:pt>
                <c:pt idx="120">
                  <c:v>44531</c:v>
                </c:pt>
                <c:pt idx="121">
                  <c:v>44562</c:v>
                </c:pt>
                <c:pt idx="122">
                  <c:v>44593</c:v>
                </c:pt>
                <c:pt idx="123">
                  <c:v>44621</c:v>
                </c:pt>
                <c:pt idx="124">
                  <c:v>44652</c:v>
                </c:pt>
                <c:pt idx="125">
                  <c:v>44682</c:v>
                </c:pt>
                <c:pt idx="126">
                  <c:v>44713</c:v>
                </c:pt>
                <c:pt idx="127">
                  <c:v>44743</c:v>
                </c:pt>
                <c:pt idx="128">
                  <c:v>44774</c:v>
                </c:pt>
                <c:pt idx="129">
                  <c:v>44805</c:v>
                </c:pt>
              </c:numCache>
            </c:numRef>
          </c:cat>
          <c:val>
            <c:numRef>
              <c:f>'Stock Empleados Registrados'!$N$6:$N$135</c:f>
              <c:numCache>
                <c:formatCode>#,##0</c:formatCode>
                <c:ptCount val="130"/>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pt idx="113">
                  <c:v>159885</c:v>
                </c:pt>
                <c:pt idx="114">
                  <c:v>162648</c:v>
                </c:pt>
                <c:pt idx="115">
                  <c:v>162707</c:v>
                </c:pt>
                <c:pt idx="116">
                  <c:v>160643</c:v>
                </c:pt>
                <c:pt idx="117">
                  <c:v>157969</c:v>
                </c:pt>
                <c:pt idx="118">
                  <c:v>153892</c:v>
                </c:pt>
                <c:pt idx="119">
                  <c:v>152091</c:v>
                </c:pt>
                <c:pt idx="120">
                  <c:v>151296</c:v>
                </c:pt>
                <c:pt idx="121">
                  <c:v>151059</c:v>
                </c:pt>
                <c:pt idx="122">
                  <c:v>150570</c:v>
                </c:pt>
                <c:pt idx="123">
                  <c:v>152142</c:v>
                </c:pt>
                <c:pt idx="124">
                  <c:v>156824</c:v>
                </c:pt>
                <c:pt idx="125">
                  <c:v>161970</c:v>
                </c:pt>
                <c:pt idx="126">
                  <c:v>161631</c:v>
                </c:pt>
                <c:pt idx="127">
                  <c:v>160701</c:v>
                </c:pt>
                <c:pt idx="128">
                  <c:v>159267</c:v>
                </c:pt>
                <c:pt idx="129">
                  <c:v>158781</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317374976"/>
        <c:axId val="315049664"/>
      </c:lineChart>
      <c:dateAx>
        <c:axId val="317374976"/>
        <c:scaling>
          <c:orientation val="minMax"/>
          <c:max val="4480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315049664"/>
        <c:crosses val="autoZero"/>
        <c:auto val="1"/>
        <c:lblOffset val="100"/>
        <c:baseTimeUnit val="months"/>
      </c:dateAx>
      <c:valAx>
        <c:axId val="315049664"/>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317374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8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80739" cy="6299489"/>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6"/>
  <sheetViews>
    <sheetView showGridLines="0" tabSelected="1" topLeftCell="A2" zoomScale="90" zoomScaleNormal="90" workbookViewId="0">
      <selection activeCell="A2" sqref="A2:K2"/>
    </sheetView>
  </sheetViews>
  <sheetFormatPr baseColWidth="10" defaultColWidth="15.5703125" defaultRowHeight="15" x14ac:dyDescent="0.25"/>
  <cols>
    <col min="1" max="1" width="15.7109375" style="24" customWidth="1"/>
    <col min="2" max="13" width="20.7109375" style="1" customWidth="1"/>
    <col min="14" max="15" width="15.7109375" style="1" customWidth="1"/>
    <col min="16" max="25" width="11.42578125"/>
    <col min="26" max="16384" width="15.5703125" style="1"/>
  </cols>
  <sheetData>
    <row r="1" spans="1:46" customFormat="1" x14ac:dyDescent="0.25">
      <c r="A1" s="25" t="s">
        <v>0</v>
      </c>
      <c r="B1" s="26"/>
      <c r="C1" s="26"/>
      <c r="D1" s="26"/>
      <c r="E1" s="26"/>
      <c r="F1" s="26"/>
      <c r="G1" s="26"/>
      <c r="H1" s="26"/>
      <c r="I1" s="26"/>
      <c r="J1" s="26"/>
      <c r="K1" s="26"/>
      <c r="L1" s="8"/>
      <c r="M1" s="8"/>
      <c r="N1" s="8"/>
      <c r="O1" s="8"/>
    </row>
    <row r="2" spans="1:46" customFormat="1" x14ac:dyDescent="0.25">
      <c r="A2" s="27" t="s">
        <v>19</v>
      </c>
      <c r="B2" s="27"/>
      <c r="C2" s="27"/>
      <c r="D2" s="27"/>
      <c r="E2" s="27"/>
      <c r="F2" s="27"/>
      <c r="G2" s="27"/>
      <c r="H2" s="27"/>
      <c r="I2" s="27"/>
      <c r="J2" s="27"/>
      <c r="K2" s="27"/>
      <c r="L2" s="9"/>
      <c r="M2" s="9"/>
      <c r="N2" s="9"/>
      <c r="O2" s="9"/>
    </row>
    <row r="3" spans="1:46" customFormat="1" x14ac:dyDescent="0.25">
      <c r="A3" s="26" t="s">
        <v>1</v>
      </c>
      <c r="B3" s="26"/>
      <c r="C3" s="26"/>
      <c r="D3" s="26"/>
      <c r="E3" s="26"/>
      <c r="F3" s="26"/>
      <c r="G3" s="26"/>
      <c r="H3" s="26"/>
      <c r="I3" s="26"/>
      <c r="J3" s="26"/>
      <c r="K3" s="26"/>
      <c r="L3" s="9"/>
      <c r="M3" s="9"/>
      <c r="N3" s="9"/>
      <c r="O3" s="9"/>
    </row>
    <row r="4" spans="1:46" customFormat="1" x14ac:dyDescent="0.25">
      <c r="A4" s="26"/>
      <c r="B4" s="26"/>
      <c r="C4" s="26"/>
      <c r="D4" s="26"/>
      <c r="E4" s="26"/>
      <c r="F4" s="26"/>
      <c r="G4" s="26"/>
      <c r="H4" s="26"/>
      <c r="I4" s="26"/>
      <c r="J4" s="26"/>
      <c r="K4" s="26"/>
      <c r="L4" s="9"/>
      <c r="M4" s="9"/>
      <c r="N4" s="9"/>
      <c r="O4" s="9"/>
    </row>
    <row r="5" spans="1:46" s="7" customFormat="1" ht="51" x14ac:dyDescent="0.25">
      <c r="A5" s="4" t="s">
        <v>2</v>
      </c>
      <c r="B5" s="5" t="s">
        <v>3</v>
      </c>
      <c r="C5" s="5" t="s">
        <v>4</v>
      </c>
      <c r="D5" s="5" t="s">
        <v>5</v>
      </c>
      <c r="E5" s="5" t="s">
        <v>6</v>
      </c>
      <c r="F5" s="5" t="s">
        <v>7</v>
      </c>
      <c r="G5" s="5" t="s">
        <v>8</v>
      </c>
      <c r="H5" s="5" t="s">
        <v>9</v>
      </c>
      <c r="I5" s="5" t="s">
        <v>10</v>
      </c>
      <c r="J5" s="5" t="s">
        <v>11</v>
      </c>
      <c r="K5" s="5" t="s">
        <v>12</v>
      </c>
      <c r="L5" s="5" t="s">
        <v>13</v>
      </c>
      <c r="M5" s="5" t="s">
        <v>14</v>
      </c>
      <c r="N5" s="5" t="s">
        <v>15</v>
      </c>
      <c r="O5" s="5" t="s">
        <v>16</v>
      </c>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1:46" ht="18" customHeight="1" x14ac:dyDescent="0.25">
      <c r="A6" s="10">
        <v>40878</v>
      </c>
      <c r="B6" s="11">
        <v>25292</v>
      </c>
      <c r="C6" s="11">
        <v>309</v>
      </c>
      <c r="D6" s="11">
        <v>25623</v>
      </c>
      <c r="E6" s="11">
        <v>1624</v>
      </c>
      <c r="F6" s="11">
        <v>13305</v>
      </c>
      <c r="G6" s="11">
        <v>31531</v>
      </c>
      <c r="H6" s="11">
        <v>5209</v>
      </c>
      <c r="I6" s="11">
        <v>11500</v>
      </c>
      <c r="J6" s="11">
        <v>3199</v>
      </c>
      <c r="K6" s="11">
        <v>19975</v>
      </c>
      <c r="L6" s="11">
        <v>18724</v>
      </c>
      <c r="M6" s="11">
        <v>7307</v>
      </c>
      <c r="N6" s="12">
        <v>163598</v>
      </c>
      <c r="O6" s="13"/>
      <c r="P6" s="14"/>
      <c r="Q6" s="14"/>
      <c r="R6" s="14"/>
      <c r="S6" s="14"/>
      <c r="T6" s="14"/>
      <c r="U6" s="14"/>
      <c r="V6" s="14"/>
      <c r="W6" s="14"/>
      <c r="X6" s="14"/>
      <c r="Y6" s="14"/>
    </row>
    <row r="7" spans="1:46" ht="18" customHeight="1" x14ac:dyDescent="0.25">
      <c r="A7" s="10">
        <v>40909</v>
      </c>
      <c r="B7" s="11">
        <v>27247</v>
      </c>
      <c r="C7" s="11">
        <v>342</v>
      </c>
      <c r="D7" s="11">
        <v>25664</v>
      </c>
      <c r="E7" s="11">
        <v>1630</v>
      </c>
      <c r="F7" s="11">
        <v>13339</v>
      </c>
      <c r="G7" s="11">
        <v>32271</v>
      </c>
      <c r="H7" s="11">
        <v>5002</v>
      </c>
      <c r="I7" s="11">
        <v>11369</v>
      </c>
      <c r="J7" s="11">
        <v>3198</v>
      </c>
      <c r="K7" s="11">
        <v>19972</v>
      </c>
      <c r="L7" s="11">
        <v>19079</v>
      </c>
      <c r="M7" s="11">
        <v>7353</v>
      </c>
      <c r="N7" s="12">
        <v>166466</v>
      </c>
      <c r="O7" s="15">
        <f>(N7/N6)-1</f>
        <v>1.7530776659861358E-2</v>
      </c>
      <c r="P7" s="14"/>
      <c r="Q7" s="14"/>
      <c r="R7" s="14"/>
      <c r="S7" s="14"/>
      <c r="T7" s="14"/>
      <c r="U7" s="14"/>
      <c r="V7" s="14"/>
      <c r="W7" s="14"/>
      <c r="X7" s="14"/>
      <c r="Y7" s="14"/>
    </row>
    <row r="8" spans="1:46" ht="18" customHeight="1" x14ac:dyDescent="0.25">
      <c r="A8" s="10">
        <v>40940</v>
      </c>
      <c r="B8" s="11">
        <v>28128</v>
      </c>
      <c r="C8" s="11">
        <v>354</v>
      </c>
      <c r="D8" s="11">
        <v>25729</v>
      </c>
      <c r="E8" s="11">
        <v>1627</v>
      </c>
      <c r="F8" s="11">
        <v>13418</v>
      </c>
      <c r="G8" s="11">
        <v>32331</v>
      </c>
      <c r="H8" s="11">
        <v>5071</v>
      </c>
      <c r="I8" s="11">
        <v>11450</v>
      </c>
      <c r="J8" s="11">
        <v>3203</v>
      </c>
      <c r="K8" s="11">
        <v>19631</v>
      </c>
      <c r="L8" s="11">
        <v>18914</v>
      </c>
      <c r="M8" s="11">
        <v>7406</v>
      </c>
      <c r="N8" s="12">
        <v>167262</v>
      </c>
      <c r="O8" s="15">
        <f t="shared" ref="O8:O71" si="0">(N8/N7)-1</f>
        <v>4.7817572357118365E-3</v>
      </c>
      <c r="P8" s="14"/>
      <c r="Q8" s="14"/>
      <c r="R8" s="14"/>
      <c r="S8" s="14"/>
      <c r="T8" s="14"/>
      <c r="U8" s="14"/>
      <c r="V8" s="14"/>
      <c r="W8" s="14"/>
      <c r="X8" s="14"/>
      <c r="Y8" s="14"/>
    </row>
    <row r="9" spans="1:46" ht="18" customHeight="1" x14ac:dyDescent="0.25">
      <c r="A9" s="10">
        <v>40969</v>
      </c>
      <c r="B9" s="11">
        <v>28688</v>
      </c>
      <c r="C9" s="11">
        <v>282</v>
      </c>
      <c r="D9" s="11">
        <v>25852</v>
      </c>
      <c r="E9" s="11">
        <v>1618</v>
      </c>
      <c r="F9" s="11">
        <v>13661</v>
      </c>
      <c r="G9" s="11">
        <v>32690</v>
      </c>
      <c r="H9" s="11">
        <v>5679</v>
      </c>
      <c r="I9" s="11">
        <v>11559</v>
      </c>
      <c r="J9" s="11">
        <v>3175</v>
      </c>
      <c r="K9" s="11">
        <v>19665</v>
      </c>
      <c r="L9" s="11">
        <v>19213</v>
      </c>
      <c r="M9" s="11">
        <v>7505</v>
      </c>
      <c r="N9" s="12">
        <v>169587</v>
      </c>
      <c r="O9" s="15">
        <f t="shared" si="0"/>
        <v>1.3900347957097159E-2</v>
      </c>
      <c r="P9" s="14"/>
      <c r="Q9" s="14"/>
      <c r="R9" s="14"/>
      <c r="S9" s="14"/>
      <c r="T9" s="14"/>
      <c r="U9" s="14"/>
      <c r="V9" s="14"/>
      <c r="W9" s="14"/>
      <c r="X9" s="14"/>
      <c r="Y9" s="14"/>
    </row>
    <row r="10" spans="1:46" ht="18" customHeight="1" x14ac:dyDescent="0.25">
      <c r="A10" s="10">
        <v>41000</v>
      </c>
      <c r="B10" s="11">
        <v>31466</v>
      </c>
      <c r="C10" s="11">
        <v>242</v>
      </c>
      <c r="D10" s="11">
        <v>26072</v>
      </c>
      <c r="E10" s="11">
        <v>1640</v>
      </c>
      <c r="F10" s="11">
        <v>13658</v>
      </c>
      <c r="G10" s="11">
        <v>32591</v>
      </c>
      <c r="H10" s="11">
        <v>5607</v>
      </c>
      <c r="I10" s="11">
        <v>11574</v>
      </c>
      <c r="J10" s="11">
        <v>3191</v>
      </c>
      <c r="K10" s="11">
        <v>19978</v>
      </c>
      <c r="L10" s="11">
        <v>19349</v>
      </c>
      <c r="M10" s="11">
        <v>7579</v>
      </c>
      <c r="N10" s="12">
        <v>172947</v>
      </c>
      <c r="O10" s="15">
        <f t="shared" si="0"/>
        <v>1.9812839427550522E-2</v>
      </c>
      <c r="P10" s="14"/>
      <c r="Q10" s="14"/>
      <c r="R10" s="14"/>
      <c r="S10" s="14"/>
      <c r="T10" s="14"/>
      <c r="U10" s="14"/>
      <c r="V10" s="14"/>
      <c r="W10" s="14"/>
      <c r="X10" s="14"/>
      <c r="Y10" s="14"/>
    </row>
    <row r="11" spans="1:46" ht="18" customHeight="1" x14ac:dyDescent="0.25">
      <c r="A11" s="10">
        <v>41030</v>
      </c>
      <c r="B11" s="11">
        <v>33899</v>
      </c>
      <c r="C11" s="11">
        <v>254</v>
      </c>
      <c r="D11" s="11">
        <v>26105</v>
      </c>
      <c r="E11" s="11">
        <v>1639</v>
      </c>
      <c r="F11" s="11">
        <v>13513</v>
      </c>
      <c r="G11" s="11">
        <v>32664</v>
      </c>
      <c r="H11" s="11">
        <v>5479</v>
      </c>
      <c r="I11" s="11">
        <v>11790</v>
      </c>
      <c r="J11" s="11">
        <v>3198</v>
      </c>
      <c r="K11" s="11">
        <v>21190</v>
      </c>
      <c r="L11" s="11">
        <v>19471</v>
      </c>
      <c r="M11" s="11">
        <v>7586</v>
      </c>
      <c r="N11" s="12">
        <v>176788</v>
      </c>
      <c r="O11" s="15">
        <f t="shared" si="0"/>
        <v>2.2209116087587466E-2</v>
      </c>
      <c r="P11" s="14"/>
      <c r="Q11" s="14"/>
      <c r="R11" s="14"/>
      <c r="S11" s="14"/>
      <c r="T11" s="14"/>
      <c r="U11" s="14"/>
      <c r="V11" s="14"/>
      <c r="W11" s="14"/>
      <c r="X11" s="14"/>
      <c r="Y11" s="14"/>
    </row>
    <row r="12" spans="1:46" ht="18" customHeight="1" x14ac:dyDescent="0.25">
      <c r="A12" s="10">
        <v>41061</v>
      </c>
      <c r="B12" s="11">
        <v>36744</v>
      </c>
      <c r="C12" s="11">
        <v>260</v>
      </c>
      <c r="D12" s="11">
        <v>26068</v>
      </c>
      <c r="E12" s="11">
        <v>1642</v>
      </c>
      <c r="F12" s="11">
        <v>13474</v>
      </c>
      <c r="G12" s="11">
        <v>32670</v>
      </c>
      <c r="H12" s="11">
        <v>5482</v>
      </c>
      <c r="I12" s="11">
        <v>11981</v>
      </c>
      <c r="J12" s="11">
        <v>3223</v>
      </c>
      <c r="K12" s="11">
        <v>21704</v>
      </c>
      <c r="L12" s="11">
        <v>19503</v>
      </c>
      <c r="M12" s="11">
        <v>7452</v>
      </c>
      <c r="N12" s="12">
        <v>180203</v>
      </c>
      <c r="O12" s="15">
        <f t="shared" si="0"/>
        <v>1.9316921963029143E-2</v>
      </c>
      <c r="P12" s="14"/>
      <c r="Q12" s="14"/>
      <c r="R12" s="14"/>
      <c r="S12" s="14"/>
      <c r="T12" s="14"/>
      <c r="U12" s="14"/>
      <c r="V12" s="14"/>
      <c r="W12" s="14"/>
      <c r="X12" s="14"/>
      <c r="Y12" s="14"/>
    </row>
    <row r="13" spans="1:46" ht="18" customHeight="1" x14ac:dyDescent="0.25">
      <c r="A13" s="10">
        <v>41091</v>
      </c>
      <c r="B13" s="11">
        <v>37451</v>
      </c>
      <c r="C13" s="11">
        <v>238</v>
      </c>
      <c r="D13" s="11">
        <v>26095</v>
      </c>
      <c r="E13" s="11">
        <v>1655</v>
      </c>
      <c r="F13" s="11">
        <v>13257</v>
      </c>
      <c r="G13" s="11">
        <v>32858</v>
      </c>
      <c r="H13" s="11">
        <v>5551</v>
      </c>
      <c r="I13" s="11">
        <v>12238</v>
      </c>
      <c r="J13" s="11">
        <v>3235</v>
      </c>
      <c r="K13" s="11">
        <v>21137</v>
      </c>
      <c r="L13" s="11">
        <v>19514</v>
      </c>
      <c r="M13" s="11">
        <v>7453</v>
      </c>
      <c r="N13" s="12">
        <v>180682</v>
      </c>
      <c r="O13" s="15">
        <f t="shared" si="0"/>
        <v>2.6581133499441467E-3</v>
      </c>
      <c r="P13" s="14"/>
      <c r="Q13" s="14"/>
      <c r="R13" s="14"/>
      <c r="S13" s="14"/>
      <c r="T13" s="14"/>
      <c r="U13" s="14"/>
      <c r="V13" s="14"/>
      <c r="W13" s="14"/>
      <c r="X13" s="14"/>
      <c r="Y13" s="14"/>
    </row>
    <row r="14" spans="1:46" ht="18" customHeight="1" x14ac:dyDescent="0.25">
      <c r="A14" s="10">
        <v>41122</v>
      </c>
      <c r="B14" s="11">
        <v>36052</v>
      </c>
      <c r="C14" s="11">
        <v>238</v>
      </c>
      <c r="D14" s="11">
        <v>25892</v>
      </c>
      <c r="E14" s="11">
        <v>1658</v>
      </c>
      <c r="F14" s="11">
        <v>13018</v>
      </c>
      <c r="G14" s="11">
        <v>32676</v>
      </c>
      <c r="H14" s="11">
        <v>5560</v>
      </c>
      <c r="I14" s="11">
        <v>12271</v>
      </c>
      <c r="J14" s="11">
        <v>3265</v>
      </c>
      <c r="K14" s="11">
        <v>20430</v>
      </c>
      <c r="L14" s="11">
        <v>19562</v>
      </c>
      <c r="M14" s="11">
        <v>7457</v>
      </c>
      <c r="N14" s="12">
        <v>178079</v>
      </c>
      <c r="O14" s="15">
        <f t="shared" si="0"/>
        <v>-1.44065263833697E-2</v>
      </c>
      <c r="P14" s="14"/>
      <c r="Q14" s="14"/>
      <c r="R14" s="14"/>
      <c r="S14" s="14"/>
      <c r="T14" s="14"/>
      <c r="U14" s="14"/>
      <c r="V14" s="14"/>
      <c r="W14" s="14"/>
      <c r="X14" s="14"/>
      <c r="Y14" s="14"/>
    </row>
    <row r="15" spans="1:46" ht="18" customHeight="1" x14ac:dyDescent="0.25">
      <c r="A15" s="10">
        <v>41153</v>
      </c>
      <c r="B15" s="11">
        <v>36864</v>
      </c>
      <c r="C15" s="11">
        <v>199</v>
      </c>
      <c r="D15" s="11">
        <v>25863</v>
      </c>
      <c r="E15" s="11">
        <v>1661</v>
      </c>
      <c r="F15" s="11">
        <v>12883</v>
      </c>
      <c r="G15" s="11">
        <v>32572</v>
      </c>
      <c r="H15" s="11">
        <v>5495</v>
      </c>
      <c r="I15" s="11">
        <v>12295</v>
      </c>
      <c r="J15" s="11">
        <v>3262</v>
      </c>
      <c r="K15" s="11">
        <v>19843</v>
      </c>
      <c r="L15" s="11">
        <v>19526</v>
      </c>
      <c r="M15" s="11">
        <v>7448</v>
      </c>
      <c r="N15" s="12">
        <v>177911</v>
      </c>
      <c r="O15" s="15">
        <f t="shared" si="0"/>
        <v>-9.4340152404270849E-4</v>
      </c>
      <c r="P15" s="14"/>
      <c r="Q15" s="14"/>
      <c r="R15" s="14"/>
      <c r="S15" s="14"/>
      <c r="T15" s="14"/>
      <c r="U15" s="14"/>
      <c r="V15" s="14"/>
      <c r="W15" s="14"/>
      <c r="X15" s="14"/>
      <c r="Y15" s="14"/>
    </row>
    <row r="16" spans="1:46" ht="18" customHeight="1" x14ac:dyDescent="0.25">
      <c r="A16" s="10">
        <v>41183</v>
      </c>
      <c r="B16" s="11">
        <v>37456</v>
      </c>
      <c r="C16" s="11">
        <v>137</v>
      </c>
      <c r="D16" s="11">
        <v>25526</v>
      </c>
      <c r="E16" s="11">
        <v>1683</v>
      </c>
      <c r="F16" s="11">
        <v>12835</v>
      </c>
      <c r="G16" s="11">
        <v>32706</v>
      </c>
      <c r="H16" s="11">
        <v>5537</v>
      </c>
      <c r="I16" s="11">
        <v>12129</v>
      </c>
      <c r="J16" s="11">
        <v>3244</v>
      </c>
      <c r="K16" s="11">
        <v>19663</v>
      </c>
      <c r="L16" s="11">
        <v>19524</v>
      </c>
      <c r="M16" s="11">
        <v>7389</v>
      </c>
      <c r="N16" s="12">
        <v>177829</v>
      </c>
      <c r="O16" s="15">
        <f t="shared" si="0"/>
        <v>-4.6090460960812596E-4</v>
      </c>
      <c r="P16" s="14"/>
      <c r="Q16" s="14"/>
      <c r="R16" s="14"/>
      <c r="S16" s="14"/>
      <c r="T16" s="14"/>
      <c r="U16" s="14"/>
      <c r="V16" s="14"/>
      <c r="W16" s="14"/>
      <c r="X16" s="14"/>
      <c r="Y16" s="14"/>
    </row>
    <row r="17" spans="1:25" ht="18" customHeight="1" x14ac:dyDescent="0.25">
      <c r="A17" s="10">
        <v>41214</v>
      </c>
      <c r="B17" s="11">
        <v>35257</v>
      </c>
      <c r="C17" s="11">
        <v>133</v>
      </c>
      <c r="D17" s="11">
        <v>25441</v>
      </c>
      <c r="E17" s="11">
        <v>1702</v>
      </c>
      <c r="F17" s="11">
        <v>12477</v>
      </c>
      <c r="G17" s="11">
        <v>33042</v>
      </c>
      <c r="H17" s="11">
        <v>5510</v>
      </c>
      <c r="I17" s="11">
        <v>12003</v>
      </c>
      <c r="J17" s="11">
        <v>3244</v>
      </c>
      <c r="K17" s="11">
        <v>19529</v>
      </c>
      <c r="L17" s="11">
        <v>19522</v>
      </c>
      <c r="M17" s="11">
        <v>7408</v>
      </c>
      <c r="N17" s="12">
        <v>175268</v>
      </c>
      <c r="O17" s="15">
        <f t="shared" si="0"/>
        <v>-1.4401475574849942E-2</v>
      </c>
      <c r="P17" s="14"/>
      <c r="Q17" s="14"/>
      <c r="R17" s="14"/>
      <c r="S17" s="14"/>
      <c r="T17" s="14"/>
      <c r="U17" s="14"/>
      <c r="V17" s="14"/>
      <c r="W17" s="14"/>
      <c r="X17" s="14"/>
      <c r="Y17" s="14"/>
    </row>
    <row r="18" spans="1:25" ht="18" customHeight="1" x14ac:dyDescent="0.25">
      <c r="A18" s="10">
        <v>41244</v>
      </c>
      <c r="B18" s="11">
        <v>32571</v>
      </c>
      <c r="C18" s="11">
        <v>127</v>
      </c>
      <c r="D18" s="11">
        <v>25564</v>
      </c>
      <c r="E18" s="11">
        <v>1708</v>
      </c>
      <c r="F18" s="11">
        <v>11791</v>
      </c>
      <c r="G18" s="11">
        <v>33497</v>
      </c>
      <c r="H18" s="11">
        <v>5564</v>
      </c>
      <c r="I18" s="11">
        <v>11931</v>
      </c>
      <c r="J18" s="11">
        <v>3249</v>
      </c>
      <c r="K18" s="11">
        <v>19753</v>
      </c>
      <c r="L18" s="11">
        <v>19294</v>
      </c>
      <c r="M18" s="11">
        <v>7527</v>
      </c>
      <c r="N18" s="12">
        <v>172576</v>
      </c>
      <c r="O18" s="15">
        <f t="shared" si="0"/>
        <v>-1.5359335417760245E-2</v>
      </c>
      <c r="P18" s="14"/>
      <c r="Q18" s="14"/>
      <c r="R18" s="14"/>
      <c r="S18" s="14"/>
      <c r="T18" s="14"/>
      <c r="U18" s="14"/>
      <c r="V18" s="14"/>
      <c r="W18" s="14"/>
      <c r="X18" s="14"/>
      <c r="Y18" s="14"/>
    </row>
    <row r="19" spans="1:25" ht="18" customHeight="1" x14ac:dyDescent="0.25">
      <c r="A19" s="10">
        <v>41275</v>
      </c>
      <c r="B19" s="11">
        <v>30563</v>
      </c>
      <c r="C19" s="11">
        <v>120</v>
      </c>
      <c r="D19" s="11">
        <v>25492</v>
      </c>
      <c r="E19" s="11">
        <v>1703</v>
      </c>
      <c r="F19" s="11">
        <v>11760</v>
      </c>
      <c r="G19" s="11">
        <v>33070</v>
      </c>
      <c r="H19" s="11">
        <v>5590</v>
      </c>
      <c r="I19" s="11">
        <v>11872</v>
      </c>
      <c r="J19" s="11">
        <v>3254</v>
      </c>
      <c r="K19" s="11">
        <v>19788</v>
      </c>
      <c r="L19" s="11">
        <v>19182</v>
      </c>
      <c r="M19" s="11">
        <v>7542</v>
      </c>
      <c r="N19" s="12">
        <v>169936</v>
      </c>
      <c r="O19" s="15">
        <f t="shared" si="0"/>
        <v>-1.5297608010383823E-2</v>
      </c>
      <c r="P19" s="14"/>
      <c r="Q19" s="14"/>
      <c r="R19" s="14"/>
      <c r="S19" s="14"/>
      <c r="T19" s="14"/>
      <c r="U19" s="14"/>
      <c r="V19" s="14"/>
      <c r="W19" s="14"/>
      <c r="X19" s="14"/>
      <c r="Y19" s="14"/>
    </row>
    <row r="20" spans="1:25" ht="18" customHeight="1" x14ac:dyDescent="0.25">
      <c r="A20" s="10">
        <v>41306</v>
      </c>
      <c r="B20" s="11">
        <v>27942</v>
      </c>
      <c r="C20" s="11">
        <v>136</v>
      </c>
      <c r="D20" s="11">
        <v>25314</v>
      </c>
      <c r="E20" s="11">
        <v>1715</v>
      </c>
      <c r="F20" s="11">
        <v>11689</v>
      </c>
      <c r="G20" s="11">
        <v>32921</v>
      </c>
      <c r="H20" s="11">
        <v>5473</v>
      </c>
      <c r="I20" s="11">
        <v>11869</v>
      </c>
      <c r="J20" s="11">
        <v>3245</v>
      </c>
      <c r="K20" s="11">
        <v>19656</v>
      </c>
      <c r="L20" s="11">
        <v>19592</v>
      </c>
      <c r="M20" s="11">
        <v>7564</v>
      </c>
      <c r="N20" s="12">
        <v>167116</v>
      </c>
      <c r="O20" s="15">
        <f t="shared" si="0"/>
        <v>-1.6594482628754403E-2</v>
      </c>
      <c r="P20" s="14"/>
      <c r="Q20" s="14"/>
      <c r="R20" s="14"/>
      <c r="S20" s="14"/>
      <c r="T20" s="14"/>
      <c r="U20" s="14"/>
      <c r="V20" s="14"/>
      <c r="W20" s="14"/>
      <c r="X20" s="14"/>
      <c r="Y20" s="14"/>
    </row>
    <row r="21" spans="1:25" ht="18" customHeight="1" x14ac:dyDescent="0.25">
      <c r="A21" s="10">
        <v>41334</v>
      </c>
      <c r="B21" s="11">
        <v>29736</v>
      </c>
      <c r="C21" s="11">
        <v>227</v>
      </c>
      <c r="D21" s="11">
        <v>25160</v>
      </c>
      <c r="E21" s="11">
        <v>1710</v>
      </c>
      <c r="F21" s="11">
        <v>11684</v>
      </c>
      <c r="G21" s="11">
        <v>32809</v>
      </c>
      <c r="H21" s="11">
        <v>5456</v>
      </c>
      <c r="I21" s="11">
        <v>11900</v>
      </c>
      <c r="J21" s="11">
        <v>3247</v>
      </c>
      <c r="K21" s="11">
        <v>19973</v>
      </c>
      <c r="L21" s="11">
        <v>19878</v>
      </c>
      <c r="M21" s="11">
        <v>7532</v>
      </c>
      <c r="N21" s="12">
        <v>169312</v>
      </c>
      <c r="O21" s="15">
        <f t="shared" si="0"/>
        <v>1.3140573015151258E-2</v>
      </c>
      <c r="P21" s="14"/>
      <c r="Q21" s="14"/>
      <c r="R21" s="14"/>
      <c r="S21" s="14"/>
      <c r="T21" s="14"/>
      <c r="U21" s="14"/>
      <c r="V21" s="14"/>
      <c r="W21" s="14"/>
      <c r="X21" s="14"/>
      <c r="Y21" s="14"/>
    </row>
    <row r="22" spans="1:25" ht="18" customHeight="1" x14ac:dyDescent="0.25">
      <c r="A22" s="10">
        <v>41365</v>
      </c>
      <c r="B22" s="11">
        <v>34211</v>
      </c>
      <c r="C22" s="11">
        <v>282</v>
      </c>
      <c r="D22" s="11">
        <v>25352</v>
      </c>
      <c r="E22" s="11">
        <v>1723</v>
      </c>
      <c r="F22" s="11">
        <v>11836</v>
      </c>
      <c r="G22" s="11">
        <v>33030</v>
      </c>
      <c r="H22" s="11">
        <v>5345</v>
      </c>
      <c r="I22" s="11">
        <v>11404</v>
      </c>
      <c r="J22" s="11">
        <v>3239</v>
      </c>
      <c r="K22" s="11">
        <v>20575</v>
      </c>
      <c r="L22" s="11">
        <v>20039</v>
      </c>
      <c r="M22" s="11">
        <v>7587</v>
      </c>
      <c r="N22" s="12">
        <v>174623</v>
      </c>
      <c r="O22" s="15">
        <f t="shared" si="0"/>
        <v>3.1368125118125034E-2</v>
      </c>
      <c r="P22" s="14"/>
      <c r="Q22" s="14"/>
      <c r="R22" s="14"/>
      <c r="S22" s="14"/>
      <c r="T22" s="14"/>
      <c r="U22" s="14"/>
      <c r="V22" s="14"/>
      <c r="W22" s="14"/>
      <c r="X22" s="14"/>
      <c r="Y22" s="14"/>
    </row>
    <row r="23" spans="1:25" ht="18" customHeight="1" x14ac:dyDescent="0.25">
      <c r="A23" s="10">
        <v>41395</v>
      </c>
      <c r="B23" s="11">
        <v>36387</v>
      </c>
      <c r="C23" s="11">
        <v>348</v>
      </c>
      <c r="D23" s="11">
        <v>25591</v>
      </c>
      <c r="E23" s="11">
        <v>1718</v>
      </c>
      <c r="F23" s="11">
        <v>11974</v>
      </c>
      <c r="G23" s="11">
        <v>33158</v>
      </c>
      <c r="H23" s="11">
        <v>5343</v>
      </c>
      <c r="I23" s="11">
        <v>11480</v>
      </c>
      <c r="J23" s="11">
        <v>3250</v>
      </c>
      <c r="K23" s="11">
        <v>20458</v>
      </c>
      <c r="L23" s="11">
        <v>20137</v>
      </c>
      <c r="M23" s="11">
        <v>7644</v>
      </c>
      <c r="N23" s="12">
        <v>177488</v>
      </c>
      <c r="O23" s="15">
        <f t="shared" si="0"/>
        <v>1.6406773449087364E-2</v>
      </c>
      <c r="P23" s="14"/>
      <c r="Q23" s="14"/>
      <c r="R23" s="14"/>
      <c r="S23" s="14"/>
      <c r="T23" s="14"/>
      <c r="U23" s="14"/>
      <c r="V23" s="14"/>
      <c r="W23" s="14"/>
      <c r="X23" s="14"/>
      <c r="Y23" s="14"/>
    </row>
    <row r="24" spans="1:25" ht="18" customHeight="1" x14ac:dyDescent="0.25">
      <c r="A24" s="10">
        <v>41426</v>
      </c>
      <c r="B24" s="11">
        <v>37678</v>
      </c>
      <c r="C24" s="11">
        <v>366</v>
      </c>
      <c r="D24" s="11">
        <v>25584</v>
      </c>
      <c r="E24" s="11">
        <v>1718</v>
      </c>
      <c r="F24" s="11">
        <v>12048</v>
      </c>
      <c r="G24" s="11">
        <v>33226</v>
      </c>
      <c r="H24" s="11">
        <v>5293</v>
      </c>
      <c r="I24" s="11">
        <v>11007</v>
      </c>
      <c r="J24" s="11">
        <v>3251</v>
      </c>
      <c r="K24" s="11">
        <v>20447</v>
      </c>
      <c r="L24" s="11">
        <v>20165</v>
      </c>
      <c r="M24" s="11">
        <v>7633</v>
      </c>
      <c r="N24" s="12">
        <v>178416</v>
      </c>
      <c r="O24" s="15">
        <f t="shared" si="0"/>
        <v>5.2285224916615025E-3</v>
      </c>
      <c r="P24" s="14"/>
      <c r="Q24" s="14"/>
      <c r="R24" s="14"/>
      <c r="S24" s="14"/>
      <c r="T24" s="14"/>
      <c r="U24" s="14"/>
      <c r="V24" s="14"/>
      <c r="W24" s="14"/>
      <c r="X24" s="14"/>
      <c r="Y24" s="14"/>
    </row>
    <row r="25" spans="1:25" ht="18" customHeight="1" x14ac:dyDescent="0.25">
      <c r="A25" s="10">
        <v>41456</v>
      </c>
      <c r="B25" s="11">
        <v>37991</v>
      </c>
      <c r="C25" s="11">
        <v>379</v>
      </c>
      <c r="D25" s="11">
        <v>25648</v>
      </c>
      <c r="E25" s="11">
        <v>1709</v>
      </c>
      <c r="F25" s="11">
        <v>12371</v>
      </c>
      <c r="G25" s="11">
        <v>33287</v>
      </c>
      <c r="H25" s="11">
        <v>5398</v>
      </c>
      <c r="I25" s="11">
        <v>10447</v>
      </c>
      <c r="J25" s="11">
        <v>3247</v>
      </c>
      <c r="K25" s="11">
        <v>20392</v>
      </c>
      <c r="L25" s="11">
        <v>20197</v>
      </c>
      <c r="M25" s="11">
        <v>7631</v>
      </c>
      <c r="N25" s="12">
        <v>178697</v>
      </c>
      <c r="O25" s="15">
        <f t="shared" si="0"/>
        <v>1.5749708546317631E-3</v>
      </c>
      <c r="P25" s="14"/>
      <c r="Q25" s="14"/>
      <c r="R25" s="14"/>
      <c r="S25" s="14"/>
      <c r="T25" s="14"/>
      <c r="U25" s="14"/>
      <c r="V25" s="14"/>
      <c r="W25" s="14"/>
      <c r="X25" s="14"/>
      <c r="Y25" s="14"/>
    </row>
    <row r="26" spans="1:25" ht="18" customHeight="1" x14ac:dyDescent="0.25">
      <c r="A26" s="10">
        <v>41487</v>
      </c>
      <c r="B26" s="11">
        <v>37227</v>
      </c>
      <c r="C26" s="11">
        <v>376</v>
      </c>
      <c r="D26" s="11">
        <v>25604</v>
      </c>
      <c r="E26" s="11">
        <v>1712</v>
      </c>
      <c r="F26" s="11">
        <v>12624</v>
      </c>
      <c r="G26" s="11">
        <v>33035</v>
      </c>
      <c r="H26" s="11">
        <v>5459</v>
      </c>
      <c r="I26" s="11">
        <v>8929</v>
      </c>
      <c r="J26" s="11">
        <v>3256</v>
      </c>
      <c r="K26" s="11">
        <v>20283</v>
      </c>
      <c r="L26" s="11">
        <v>20248</v>
      </c>
      <c r="M26" s="11">
        <v>7623</v>
      </c>
      <c r="N26" s="12">
        <v>176376</v>
      </c>
      <c r="O26" s="15">
        <f t="shared" si="0"/>
        <v>-1.2988466510349905E-2</v>
      </c>
      <c r="P26" s="14"/>
      <c r="Q26" s="14"/>
      <c r="R26" s="14"/>
      <c r="S26" s="14"/>
      <c r="T26" s="14"/>
      <c r="U26" s="14"/>
      <c r="V26" s="14"/>
      <c r="W26" s="14"/>
      <c r="X26" s="14"/>
      <c r="Y26" s="14"/>
    </row>
    <row r="27" spans="1:25" ht="18" customHeight="1" x14ac:dyDescent="0.25">
      <c r="A27" s="10">
        <v>41518</v>
      </c>
      <c r="B27" s="11">
        <v>36670</v>
      </c>
      <c r="C27" s="11">
        <v>342</v>
      </c>
      <c r="D27" s="11">
        <v>25582</v>
      </c>
      <c r="E27" s="11">
        <v>1700</v>
      </c>
      <c r="F27" s="11">
        <v>12852</v>
      </c>
      <c r="G27" s="11">
        <v>33089</v>
      </c>
      <c r="H27" s="11">
        <v>5484</v>
      </c>
      <c r="I27" s="11">
        <v>8892</v>
      </c>
      <c r="J27" s="11">
        <v>3263</v>
      </c>
      <c r="K27" s="11">
        <v>20254</v>
      </c>
      <c r="L27" s="11">
        <v>20322</v>
      </c>
      <c r="M27" s="11">
        <v>7621</v>
      </c>
      <c r="N27" s="12">
        <v>176071</v>
      </c>
      <c r="O27" s="15">
        <f t="shared" si="0"/>
        <v>-1.729260216809525E-3</v>
      </c>
      <c r="P27" s="14"/>
      <c r="Q27" s="14"/>
      <c r="R27" s="14"/>
      <c r="S27" s="14"/>
      <c r="T27" s="14"/>
      <c r="U27" s="14"/>
      <c r="V27" s="14"/>
      <c r="W27" s="14"/>
      <c r="X27" s="14"/>
      <c r="Y27" s="14"/>
    </row>
    <row r="28" spans="1:25" ht="18" customHeight="1" x14ac:dyDescent="0.25">
      <c r="A28" s="10">
        <v>41548</v>
      </c>
      <c r="B28" s="11">
        <v>35993</v>
      </c>
      <c r="C28" s="11">
        <v>301</v>
      </c>
      <c r="D28" s="11">
        <v>25451</v>
      </c>
      <c r="E28" s="11">
        <v>1703</v>
      </c>
      <c r="F28" s="11">
        <v>12685</v>
      </c>
      <c r="G28" s="11">
        <v>33281</v>
      </c>
      <c r="H28" s="11">
        <v>5494</v>
      </c>
      <c r="I28" s="11">
        <v>8664</v>
      </c>
      <c r="J28" s="11">
        <v>3255</v>
      </c>
      <c r="K28" s="11">
        <v>20295</v>
      </c>
      <c r="L28" s="11">
        <v>20386</v>
      </c>
      <c r="M28" s="11">
        <v>7647</v>
      </c>
      <c r="N28" s="12">
        <v>175155</v>
      </c>
      <c r="O28" s="15">
        <f t="shared" si="0"/>
        <v>-5.2024467402355112E-3</v>
      </c>
      <c r="P28" s="14"/>
      <c r="Q28" s="14"/>
      <c r="R28" s="14"/>
      <c r="S28" s="14"/>
      <c r="T28" s="14"/>
      <c r="U28" s="14"/>
      <c r="V28" s="14"/>
      <c r="W28" s="14"/>
      <c r="X28" s="14"/>
      <c r="Y28" s="14"/>
    </row>
    <row r="29" spans="1:25" ht="18" customHeight="1" x14ac:dyDescent="0.25">
      <c r="A29" s="10">
        <v>41579</v>
      </c>
      <c r="B29" s="11">
        <v>35498</v>
      </c>
      <c r="C29" s="11">
        <v>287</v>
      </c>
      <c r="D29" s="11">
        <v>25202</v>
      </c>
      <c r="E29" s="11">
        <v>1689</v>
      </c>
      <c r="F29" s="11">
        <v>12606</v>
      </c>
      <c r="G29" s="11">
        <v>33351</v>
      </c>
      <c r="H29" s="11">
        <v>5565</v>
      </c>
      <c r="I29" s="11">
        <v>8631</v>
      </c>
      <c r="J29" s="11">
        <v>3251</v>
      </c>
      <c r="K29" s="11">
        <v>20357</v>
      </c>
      <c r="L29" s="11">
        <v>20421</v>
      </c>
      <c r="M29" s="11">
        <v>7628</v>
      </c>
      <c r="N29" s="12">
        <v>174486</v>
      </c>
      <c r="O29" s="15">
        <f t="shared" si="0"/>
        <v>-3.8194741800119392E-3</v>
      </c>
      <c r="P29" s="14"/>
      <c r="Q29" s="14"/>
      <c r="R29" s="14"/>
      <c r="S29" s="14"/>
      <c r="T29" s="14"/>
      <c r="U29" s="14"/>
      <c r="V29" s="14"/>
      <c r="W29" s="14"/>
      <c r="X29" s="14"/>
      <c r="Y29" s="14"/>
    </row>
    <row r="30" spans="1:25" ht="18" customHeight="1" x14ac:dyDescent="0.25">
      <c r="A30" s="10">
        <v>41609</v>
      </c>
      <c r="B30" s="11">
        <v>34083</v>
      </c>
      <c r="C30" s="11">
        <v>285</v>
      </c>
      <c r="D30" s="11">
        <v>25217</v>
      </c>
      <c r="E30" s="11">
        <v>1701</v>
      </c>
      <c r="F30" s="11">
        <v>12236</v>
      </c>
      <c r="G30" s="11">
        <v>33489</v>
      </c>
      <c r="H30" s="11">
        <v>5560</v>
      </c>
      <c r="I30" s="11">
        <v>8516</v>
      </c>
      <c r="J30" s="11">
        <v>3257</v>
      </c>
      <c r="K30" s="11">
        <v>20446</v>
      </c>
      <c r="L30" s="11">
        <v>20226</v>
      </c>
      <c r="M30" s="11">
        <v>7720</v>
      </c>
      <c r="N30" s="12">
        <v>172736</v>
      </c>
      <c r="O30" s="15">
        <f t="shared" si="0"/>
        <v>-1.002945795078114E-2</v>
      </c>
      <c r="P30" s="14"/>
      <c r="Q30" s="14"/>
      <c r="R30" s="14"/>
      <c r="S30" s="14"/>
      <c r="T30" s="14"/>
      <c r="U30" s="14"/>
      <c r="V30" s="14"/>
      <c r="W30" s="14"/>
      <c r="X30" s="14"/>
      <c r="Y30" s="14"/>
    </row>
    <row r="31" spans="1:25" ht="18" customHeight="1" x14ac:dyDescent="0.25">
      <c r="A31" s="10">
        <v>41640</v>
      </c>
      <c r="B31" s="11">
        <v>33466</v>
      </c>
      <c r="C31" s="11">
        <v>298</v>
      </c>
      <c r="D31" s="11">
        <v>25194</v>
      </c>
      <c r="E31" s="11">
        <v>1716</v>
      </c>
      <c r="F31" s="11">
        <v>12100</v>
      </c>
      <c r="G31" s="11">
        <v>33209</v>
      </c>
      <c r="H31" s="11">
        <v>5622</v>
      </c>
      <c r="I31" s="11">
        <v>8539</v>
      </c>
      <c r="J31" s="11">
        <v>3273</v>
      </c>
      <c r="K31" s="11">
        <v>20465</v>
      </c>
      <c r="L31" s="11">
        <v>20088</v>
      </c>
      <c r="M31" s="11">
        <v>7709</v>
      </c>
      <c r="N31" s="12">
        <v>171679</v>
      </c>
      <c r="O31" s="15">
        <f t="shared" si="0"/>
        <v>-6.1191645053723098E-3</v>
      </c>
      <c r="P31" s="14"/>
      <c r="Q31" s="14"/>
      <c r="R31" s="14"/>
      <c r="S31" s="14"/>
      <c r="T31" s="14"/>
      <c r="U31" s="14"/>
      <c r="V31" s="14"/>
      <c r="W31" s="14"/>
      <c r="X31" s="14"/>
      <c r="Y31" s="14"/>
    </row>
    <row r="32" spans="1:25" ht="18" customHeight="1" x14ac:dyDescent="0.25">
      <c r="A32" s="10">
        <v>41671</v>
      </c>
      <c r="B32" s="11">
        <v>30140</v>
      </c>
      <c r="C32" s="11">
        <v>296</v>
      </c>
      <c r="D32" s="11">
        <v>25012</v>
      </c>
      <c r="E32" s="11">
        <v>1755</v>
      </c>
      <c r="F32" s="11">
        <v>12008</v>
      </c>
      <c r="G32" s="11">
        <v>33004</v>
      </c>
      <c r="H32" s="11">
        <v>5472</v>
      </c>
      <c r="I32" s="11">
        <v>8498</v>
      </c>
      <c r="J32" s="11">
        <v>3260</v>
      </c>
      <c r="K32" s="11">
        <v>20377</v>
      </c>
      <c r="L32" s="11">
        <v>20173</v>
      </c>
      <c r="M32" s="11">
        <v>7702</v>
      </c>
      <c r="N32" s="12">
        <v>167697</v>
      </c>
      <c r="O32" s="15">
        <f t="shared" si="0"/>
        <v>-2.3194450107468012E-2</v>
      </c>
      <c r="P32" s="14"/>
      <c r="Q32" s="14"/>
      <c r="R32" s="14"/>
      <c r="S32" s="14"/>
      <c r="T32" s="14"/>
      <c r="U32" s="14"/>
      <c r="V32" s="14"/>
      <c r="W32" s="14"/>
      <c r="X32" s="14"/>
      <c r="Y32" s="14"/>
    </row>
    <row r="33" spans="1:25" ht="18" customHeight="1" x14ac:dyDescent="0.25">
      <c r="A33" s="10">
        <v>41699</v>
      </c>
      <c r="B33" s="11">
        <v>29835</v>
      </c>
      <c r="C33" s="11">
        <v>314</v>
      </c>
      <c r="D33" s="11">
        <v>25072</v>
      </c>
      <c r="E33" s="11">
        <v>1758</v>
      </c>
      <c r="F33" s="11">
        <v>12130</v>
      </c>
      <c r="G33" s="11">
        <v>32905</v>
      </c>
      <c r="H33" s="11">
        <v>5420</v>
      </c>
      <c r="I33" s="11">
        <v>8584</v>
      </c>
      <c r="J33" s="11">
        <v>3278</v>
      </c>
      <c r="K33" s="11">
        <v>18882</v>
      </c>
      <c r="L33" s="11">
        <v>20382</v>
      </c>
      <c r="M33" s="11">
        <v>7663</v>
      </c>
      <c r="N33" s="12">
        <v>166223</v>
      </c>
      <c r="O33" s="15">
        <f t="shared" si="0"/>
        <v>-8.7896623076143543E-3</v>
      </c>
      <c r="P33" s="14"/>
      <c r="Q33" s="14"/>
      <c r="R33" s="14"/>
      <c r="S33" s="14"/>
      <c r="T33" s="14"/>
      <c r="U33" s="14"/>
      <c r="V33" s="14"/>
      <c r="W33" s="14"/>
      <c r="X33" s="14"/>
      <c r="Y33" s="14"/>
    </row>
    <row r="34" spans="1:25" ht="18" customHeight="1" x14ac:dyDescent="0.25">
      <c r="A34" s="10">
        <v>41730</v>
      </c>
      <c r="B34" s="11">
        <v>31638</v>
      </c>
      <c r="C34" s="11">
        <v>378</v>
      </c>
      <c r="D34" s="11">
        <v>25179</v>
      </c>
      <c r="E34" s="11">
        <v>1758</v>
      </c>
      <c r="F34" s="11">
        <v>11966</v>
      </c>
      <c r="G34" s="11">
        <v>32877</v>
      </c>
      <c r="H34" s="11">
        <v>5408</v>
      </c>
      <c r="I34" s="11">
        <v>8622</v>
      </c>
      <c r="J34" s="11">
        <v>3260</v>
      </c>
      <c r="K34" s="11">
        <v>19152</v>
      </c>
      <c r="L34" s="11">
        <v>20499</v>
      </c>
      <c r="M34" s="11">
        <v>7745</v>
      </c>
      <c r="N34" s="12">
        <v>168482</v>
      </c>
      <c r="O34" s="15">
        <f t="shared" si="0"/>
        <v>1.3590177051310492E-2</v>
      </c>
      <c r="P34" s="14"/>
      <c r="Q34" s="14"/>
      <c r="R34" s="14"/>
      <c r="S34" s="14"/>
      <c r="T34" s="14"/>
      <c r="U34" s="14"/>
      <c r="V34" s="14"/>
      <c r="W34" s="14"/>
      <c r="X34" s="14"/>
      <c r="Y34" s="14"/>
    </row>
    <row r="35" spans="1:25" ht="18" customHeight="1" x14ac:dyDescent="0.25">
      <c r="A35" s="10">
        <v>41760</v>
      </c>
      <c r="B35" s="11">
        <v>33466</v>
      </c>
      <c r="C35" s="11">
        <v>395</v>
      </c>
      <c r="D35" s="11">
        <v>25082</v>
      </c>
      <c r="E35" s="11">
        <v>1761</v>
      </c>
      <c r="F35" s="11">
        <v>11822</v>
      </c>
      <c r="G35" s="11">
        <v>32657</v>
      </c>
      <c r="H35" s="11">
        <v>5317</v>
      </c>
      <c r="I35" s="11">
        <v>8696</v>
      </c>
      <c r="J35" s="11">
        <v>3275</v>
      </c>
      <c r="K35" s="11">
        <v>19501</v>
      </c>
      <c r="L35" s="11">
        <v>20543</v>
      </c>
      <c r="M35" s="11">
        <v>7687</v>
      </c>
      <c r="N35" s="12">
        <v>170202</v>
      </c>
      <c r="O35" s="15">
        <f t="shared" si="0"/>
        <v>1.0208805688441513E-2</v>
      </c>
      <c r="P35" s="14"/>
      <c r="Q35" s="14"/>
      <c r="R35" s="14"/>
      <c r="S35" s="14"/>
      <c r="T35" s="14"/>
      <c r="U35" s="14"/>
      <c r="V35" s="14"/>
      <c r="W35" s="14"/>
      <c r="X35" s="14"/>
      <c r="Y35" s="14"/>
    </row>
    <row r="36" spans="1:25" ht="18" customHeight="1" x14ac:dyDescent="0.25">
      <c r="A36" s="10">
        <v>41791</v>
      </c>
      <c r="B36" s="11">
        <v>35275</v>
      </c>
      <c r="C36" s="11">
        <v>441</v>
      </c>
      <c r="D36" s="11">
        <v>24690</v>
      </c>
      <c r="E36" s="11">
        <v>1982</v>
      </c>
      <c r="F36" s="11">
        <v>11770</v>
      </c>
      <c r="G36" s="11">
        <v>32777</v>
      </c>
      <c r="H36" s="11">
        <v>5274</v>
      </c>
      <c r="I36" s="11">
        <v>8888</v>
      </c>
      <c r="J36" s="11">
        <v>3284</v>
      </c>
      <c r="K36" s="11">
        <v>19435</v>
      </c>
      <c r="L36" s="11">
        <v>20381</v>
      </c>
      <c r="M36" s="11">
        <v>7662</v>
      </c>
      <c r="N36" s="12">
        <v>171859</v>
      </c>
      <c r="O36" s="15">
        <f t="shared" si="0"/>
        <v>9.7354907697912996E-3</v>
      </c>
      <c r="P36" s="14"/>
      <c r="Q36" s="14"/>
      <c r="R36" s="14"/>
      <c r="S36" s="14"/>
      <c r="T36" s="14"/>
      <c r="U36" s="14"/>
      <c r="V36" s="14"/>
      <c r="W36" s="14"/>
      <c r="X36" s="14"/>
      <c r="Y36" s="14"/>
    </row>
    <row r="37" spans="1:25" ht="18" customHeight="1" x14ac:dyDescent="0.25">
      <c r="A37" s="10">
        <v>41821</v>
      </c>
      <c r="B37" s="11">
        <v>32515</v>
      </c>
      <c r="C37" s="11">
        <v>449</v>
      </c>
      <c r="D37" s="11">
        <v>24406</v>
      </c>
      <c r="E37" s="11">
        <v>2008</v>
      </c>
      <c r="F37" s="11">
        <v>11628</v>
      </c>
      <c r="G37" s="11">
        <v>32911</v>
      </c>
      <c r="H37" s="11">
        <v>5365</v>
      </c>
      <c r="I37" s="11">
        <v>9332</v>
      </c>
      <c r="J37" s="11">
        <v>3272</v>
      </c>
      <c r="K37" s="11">
        <v>20079</v>
      </c>
      <c r="L37" s="11">
        <v>20336</v>
      </c>
      <c r="M37" s="11">
        <v>7411</v>
      </c>
      <c r="N37" s="12">
        <v>169712</v>
      </c>
      <c r="O37" s="15">
        <f t="shared" si="0"/>
        <v>-1.2492799329683058E-2</v>
      </c>
      <c r="P37" s="14"/>
      <c r="Q37" s="14"/>
      <c r="R37" s="14"/>
      <c r="S37" s="14"/>
      <c r="T37" s="14"/>
      <c r="U37" s="14"/>
      <c r="V37" s="14"/>
      <c r="W37" s="14"/>
      <c r="X37" s="14"/>
      <c r="Y37" s="14"/>
    </row>
    <row r="38" spans="1:25" ht="18" customHeight="1" x14ac:dyDescent="0.25">
      <c r="A38" s="10">
        <v>41852</v>
      </c>
      <c r="B38" s="11">
        <v>32225</v>
      </c>
      <c r="C38" s="11">
        <v>469</v>
      </c>
      <c r="D38" s="11">
        <v>24200</v>
      </c>
      <c r="E38" s="11">
        <v>2057</v>
      </c>
      <c r="F38" s="11">
        <v>11797</v>
      </c>
      <c r="G38" s="11">
        <v>32529</v>
      </c>
      <c r="H38" s="11">
        <v>5433</v>
      </c>
      <c r="I38" s="11">
        <v>9307</v>
      </c>
      <c r="J38" s="11">
        <v>3272</v>
      </c>
      <c r="K38" s="11">
        <v>19917</v>
      </c>
      <c r="L38" s="11">
        <v>20386</v>
      </c>
      <c r="M38" s="11">
        <v>7333</v>
      </c>
      <c r="N38" s="12">
        <v>168925</v>
      </c>
      <c r="O38" s="15">
        <f t="shared" si="0"/>
        <v>-4.6372678419911439E-3</v>
      </c>
      <c r="P38" s="14"/>
      <c r="Q38" s="14"/>
      <c r="R38" s="14"/>
      <c r="S38" s="14"/>
      <c r="T38" s="14"/>
      <c r="U38" s="14"/>
      <c r="V38" s="14"/>
      <c r="W38" s="14"/>
      <c r="X38" s="14"/>
      <c r="Y38" s="14"/>
    </row>
    <row r="39" spans="1:25" ht="18" customHeight="1" x14ac:dyDescent="0.25">
      <c r="A39" s="10">
        <v>41883</v>
      </c>
      <c r="B39" s="11">
        <v>33517</v>
      </c>
      <c r="C39" s="11">
        <v>454</v>
      </c>
      <c r="D39" s="11">
        <v>24167</v>
      </c>
      <c r="E39" s="11">
        <v>2095</v>
      </c>
      <c r="F39" s="11">
        <v>11821</v>
      </c>
      <c r="G39" s="11">
        <v>32318</v>
      </c>
      <c r="H39" s="11">
        <v>5388</v>
      </c>
      <c r="I39" s="11">
        <v>9391</v>
      </c>
      <c r="J39" s="11">
        <v>3276</v>
      </c>
      <c r="K39" s="11">
        <v>19369</v>
      </c>
      <c r="L39" s="11">
        <v>20495</v>
      </c>
      <c r="M39" s="11">
        <v>7341</v>
      </c>
      <c r="N39" s="12">
        <v>169632</v>
      </c>
      <c r="O39" s="15">
        <f t="shared" si="0"/>
        <v>4.1852893295841742E-3</v>
      </c>
      <c r="P39" s="14"/>
      <c r="Q39" s="14"/>
      <c r="R39" s="14"/>
      <c r="S39" s="14"/>
      <c r="T39" s="14"/>
      <c r="U39" s="14"/>
      <c r="V39" s="14"/>
      <c r="W39" s="14"/>
      <c r="X39" s="14"/>
      <c r="Y39" s="14"/>
    </row>
    <row r="40" spans="1:25" ht="18" customHeight="1" x14ac:dyDescent="0.25">
      <c r="A40" s="10">
        <v>41913</v>
      </c>
      <c r="B40" s="11">
        <v>34495</v>
      </c>
      <c r="C40" s="11">
        <v>411</v>
      </c>
      <c r="D40" s="11">
        <v>23810</v>
      </c>
      <c r="E40" s="11">
        <v>2081</v>
      </c>
      <c r="F40" s="11">
        <v>11797</v>
      </c>
      <c r="G40" s="11">
        <v>31878</v>
      </c>
      <c r="H40" s="11">
        <v>5458</v>
      </c>
      <c r="I40" s="11">
        <v>9127</v>
      </c>
      <c r="J40" s="11">
        <v>3285</v>
      </c>
      <c r="K40" s="11">
        <v>19604</v>
      </c>
      <c r="L40" s="11">
        <v>20410</v>
      </c>
      <c r="M40" s="11">
        <v>7107</v>
      </c>
      <c r="N40" s="12">
        <v>169463</v>
      </c>
      <c r="O40" s="15">
        <f t="shared" si="0"/>
        <v>-9.9627428787019134E-4</v>
      </c>
      <c r="P40" s="14"/>
      <c r="Q40" s="14"/>
      <c r="R40" s="14"/>
      <c r="S40" s="14"/>
      <c r="T40" s="14"/>
      <c r="U40" s="14"/>
      <c r="V40" s="14"/>
      <c r="W40" s="14"/>
      <c r="X40" s="14"/>
      <c r="Y40" s="14"/>
    </row>
    <row r="41" spans="1:25" ht="18" customHeight="1" x14ac:dyDescent="0.25">
      <c r="A41" s="10">
        <v>41944</v>
      </c>
      <c r="B41" s="11">
        <v>34658</v>
      </c>
      <c r="C41" s="11">
        <v>379</v>
      </c>
      <c r="D41" s="11">
        <v>23591</v>
      </c>
      <c r="E41" s="11">
        <v>2035</v>
      </c>
      <c r="F41" s="11">
        <v>11867</v>
      </c>
      <c r="G41" s="11">
        <v>31814</v>
      </c>
      <c r="H41" s="11">
        <v>4848</v>
      </c>
      <c r="I41" s="11">
        <v>8887</v>
      </c>
      <c r="J41" s="11">
        <v>3282</v>
      </c>
      <c r="K41" s="11">
        <v>20497</v>
      </c>
      <c r="L41" s="11">
        <v>20367</v>
      </c>
      <c r="M41" s="11">
        <v>7138</v>
      </c>
      <c r="N41" s="12">
        <v>169363</v>
      </c>
      <c r="O41" s="15">
        <f t="shared" si="0"/>
        <v>-5.900993137144539E-4</v>
      </c>
      <c r="P41" s="14"/>
      <c r="Q41" s="14"/>
      <c r="R41" s="14"/>
      <c r="S41" s="14"/>
      <c r="T41" s="14"/>
      <c r="U41" s="14"/>
      <c r="V41" s="14"/>
      <c r="W41" s="14"/>
      <c r="X41" s="14"/>
      <c r="Y41" s="14"/>
    </row>
    <row r="42" spans="1:25" ht="18" customHeight="1" x14ac:dyDescent="0.25">
      <c r="A42" s="10">
        <v>41974</v>
      </c>
      <c r="B42" s="11">
        <v>29903</v>
      </c>
      <c r="C42" s="11">
        <v>374</v>
      </c>
      <c r="D42" s="11">
        <v>23506</v>
      </c>
      <c r="E42" s="11">
        <v>2017</v>
      </c>
      <c r="F42" s="11">
        <v>11333</v>
      </c>
      <c r="G42" s="11">
        <v>32103</v>
      </c>
      <c r="H42" s="11">
        <v>5092</v>
      </c>
      <c r="I42" s="11">
        <v>8770</v>
      </c>
      <c r="J42" s="11">
        <v>3285</v>
      </c>
      <c r="K42" s="11">
        <v>20503</v>
      </c>
      <c r="L42" s="11">
        <v>20186</v>
      </c>
      <c r="M42" s="11">
        <v>7160</v>
      </c>
      <c r="N42" s="12">
        <v>164232</v>
      </c>
      <c r="O42" s="15">
        <f t="shared" si="0"/>
        <v>-3.0295873360769443E-2</v>
      </c>
      <c r="P42" s="14"/>
      <c r="Q42" s="14"/>
      <c r="R42" s="14"/>
      <c r="S42" s="14"/>
      <c r="T42" s="14"/>
      <c r="U42" s="14"/>
      <c r="V42" s="14"/>
      <c r="W42" s="14"/>
      <c r="X42" s="14"/>
      <c r="Y42" s="14"/>
    </row>
    <row r="43" spans="1:25" ht="18" customHeight="1" x14ac:dyDescent="0.25">
      <c r="A43" s="10">
        <v>42005</v>
      </c>
      <c r="B43" s="11">
        <v>29170</v>
      </c>
      <c r="C43" s="11">
        <v>362</v>
      </c>
      <c r="D43" s="11">
        <v>23544</v>
      </c>
      <c r="E43" s="11">
        <v>2009</v>
      </c>
      <c r="F43" s="11">
        <v>11374</v>
      </c>
      <c r="G43" s="11">
        <v>31894</v>
      </c>
      <c r="H43" s="11">
        <v>5271</v>
      </c>
      <c r="I43" s="11">
        <v>8719</v>
      </c>
      <c r="J43" s="11">
        <v>3279</v>
      </c>
      <c r="K43" s="11">
        <v>20494</v>
      </c>
      <c r="L43" s="11">
        <v>20070</v>
      </c>
      <c r="M43" s="11">
        <v>7042</v>
      </c>
      <c r="N43" s="12">
        <v>163228</v>
      </c>
      <c r="O43" s="15">
        <f t="shared" si="0"/>
        <v>-6.1133031321545239E-3</v>
      </c>
      <c r="P43" s="14"/>
      <c r="Q43" s="14"/>
      <c r="R43" s="14"/>
      <c r="S43" s="14"/>
      <c r="T43" s="14"/>
      <c r="U43" s="14"/>
      <c r="V43" s="14"/>
      <c r="W43" s="14"/>
      <c r="X43" s="14"/>
      <c r="Y43" s="14"/>
    </row>
    <row r="44" spans="1:25" ht="18" customHeight="1" x14ac:dyDescent="0.25">
      <c r="A44" s="10">
        <v>42036</v>
      </c>
      <c r="B44" s="11">
        <v>29294</v>
      </c>
      <c r="C44" s="11">
        <v>356</v>
      </c>
      <c r="D44" s="11">
        <v>23439</v>
      </c>
      <c r="E44" s="11">
        <v>2053</v>
      </c>
      <c r="F44" s="11">
        <v>11401</v>
      </c>
      <c r="G44" s="11">
        <v>31748</v>
      </c>
      <c r="H44" s="11">
        <v>5671</v>
      </c>
      <c r="I44" s="11">
        <v>8546</v>
      </c>
      <c r="J44" s="11">
        <v>3275</v>
      </c>
      <c r="K44" s="11">
        <v>20504</v>
      </c>
      <c r="L44" s="11">
        <v>20076</v>
      </c>
      <c r="M44" s="11">
        <v>6962</v>
      </c>
      <c r="N44" s="12">
        <v>163325</v>
      </c>
      <c r="O44" s="15">
        <f t="shared" si="0"/>
        <v>5.9426078859026177E-4</v>
      </c>
      <c r="P44" s="14"/>
      <c r="Q44" s="14"/>
      <c r="R44" s="14"/>
      <c r="S44" s="14"/>
      <c r="T44" s="14"/>
      <c r="U44" s="14"/>
      <c r="V44" s="14"/>
      <c r="W44" s="14"/>
      <c r="X44" s="14"/>
      <c r="Y44" s="14"/>
    </row>
    <row r="45" spans="1:25" ht="18" customHeight="1" x14ac:dyDescent="0.25">
      <c r="A45" s="10">
        <v>42064</v>
      </c>
      <c r="B45" s="11">
        <v>28268</v>
      </c>
      <c r="C45" s="11">
        <v>364</v>
      </c>
      <c r="D45" s="11">
        <v>23689</v>
      </c>
      <c r="E45" s="11">
        <v>2102</v>
      </c>
      <c r="F45" s="11">
        <v>11247</v>
      </c>
      <c r="G45" s="11">
        <v>31518</v>
      </c>
      <c r="H45" s="11">
        <v>5439</v>
      </c>
      <c r="I45" s="11">
        <v>8548</v>
      </c>
      <c r="J45" s="11">
        <v>3268</v>
      </c>
      <c r="K45" s="11">
        <v>20490</v>
      </c>
      <c r="L45" s="11">
        <v>20318</v>
      </c>
      <c r="M45" s="11">
        <v>6991</v>
      </c>
      <c r="N45" s="12">
        <v>162242</v>
      </c>
      <c r="O45" s="15">
        <f t="shared" si="0"/>
        <v>-6.6309505587019979E-3</v>
      </c>
      <c r="P45" s="14"/>
      <c r="Q45" s="14"/>
      <c r="R45" s="14"/>
      <c r="S45" s="14"/>
      <c r="T45" s="14"/>
      <c r="U45" s="14"/>
      <c r="V45" s="14"/>
      <c r="W45" s="14"/>
      <c r="X45" s="14"/>
      <c r="Y45" s="14"/>
    </row>
    <row r="46" spans="1:25" ht="18" customHeight="1" x14ac:dyDescent="0.25">
      <c r="A46" s="10">
        <v>42095</v>
      </c>
      <c r="B46" s="11">
        <v>30359</v>
      </c>
      <c r="C46" s="11">
        <v>401</v>
      </c>
      <c r="D46" s="11">
        <v>23884</v>
      </c>
      <c r="E46" s="11">
        <v>2256</v>
      </c>
      <c r="F46" s="11">
        <v>11150</v>
      </c>
      <c r="G46" s="11">
        <v>31621</v>
      </c>
      <c r="H46" s="11">
        <v>5939</v>
      </c>
      <c r="I46" s="11">
        <v>8643</v>
      </c>
      <c r="J46" s="11">
        <v>3269</v>
      </c>
      <c r="K46" s="11">
        <v>20498</v>
      </c>
      <c r="L46" s="11">
        <v>20471</v>
      </c>
      <c r="M46" s="11">
        <v>6985</v>
      </c>
      <c r="N46" s="12">
        <v>165476</v>
      </c>
      <c r="O46" s="15">
        <f t="shared" si="0"/>
        <v>1.9933186227980348E-2</v>
      </c>
      <c r="P46" s="14"/>
      <c r="Q46" s="14"/>
      <c r="R46" s="14"/>
      <c r="S46" s="14"/>
      <c r="T46" s="14"/>
      <c r="U46" s="14"/>
      <c r="V46" s="14"/>
      <c r="W46" s="14"/>
      <c r="X46" s="14"/>
      <c r="Y46" s="14"/>
    </row>
    <row r="47" spans="1:25" ht="18" customHeight="1" x14ac:dyDescent="0.25">
      <c r="A47" s="10">
        <v>42125</v>
      </c>
      <c r="B47" s="11">
        <v>30129</v>
      </c>
      <c r="C47" s="11">
        <v>378</v>
      </c>
      <c r="D47" s="11">
        <v>24174</v>
      </c>
      <c r="E47" s="11">
        <v>2305</v>
      </c>
      <c r="F47" s="11">
        <v>11369</v>
      </c>
      <c r="G47" s="11">
        <v>31895</v>
      </c>
      <c r="H47" s="11">
        <v>5636</v>
      </c>
      <c r="I47" s="11">
        <v>8686</v>
      </c>
      <c r="J47" s="11">
        <v>3249</v>
      </c>
      <c r="K47" s="11">
        <v>20498</v>
      </c>
      <c r="L47" s="11">
        <v>20168</v>
      </c>
      <c r="M47" s="11">
        <v>6944</v>
      </c>
      <c r="N47" s="12">
        <v>165431</v>
      </c>
      <c r="O47" s="15">
        <f t="shared" si="0"/>
        <v>-2.7194275907083121E-4</v>
      </c>
      <c r="P47" s="14"/>
      <c r="Q47" s="14"/>
      <c r="R47" s="14"/>
      <c r="S47" s="14"/>
      <c r="T47" s="14"/>
      <c r="U47" s="14"/>
      <c r="V47" s="14"/>
      <c r="W47" s="14"/>
      <c r="X47" s="14"/>
      <c r="Y47" s="14"/>
    </row>
    <row r="48" spans="1:25" ht="18" customHeight="1" x14ac:dyDescent="0.25">
      <c r="A48" s="10">
        <v>42156</v>
      </c>
      <c r="B48" s="11">
        <v>32622</v>
      </c>
      <c r="C48" s="11">
        <v>662</v>
      </c>
      <c r="D48" s="11">
        <v>24350</v>
      </c>
      <c r="E48" s="11">
        <v>2323</v>
      </c>
      <c r="F48" s="11">
        <v>11504</v>
      </c>
      <c r="G48" s="11">
        <v>32005</v>
      </c>
      <c r="H48" s="11">
        <v>5859</v>
      </c>
      <c r="I48" s="11">
        <v>8933</v>
      </c>
      <c r="J48" s="11">
        <v>3262</v>
      </c>
      <c r="K48" s="11">
        <v>20514</v>
      </c>
      <c r="L48" s="11">
        <v>20088</v>
      </c>
      <c r="M48" s="11">
        <v>6968</v>
      </c>
      <c r="N48" s="12">
        <v>169090</v>
      </c>
      <c r="O48" s="15">
        <f t="shared" si="0"/>
        <v>2.2117982723915075E-2</v>
      </c>
      <c r="P48" s="14"/>
      <c r="Q48" s="14"/>
      <c r="R48" s="14"/>
      <c r="S48" s="14"/>
      <c r="T48" s="14"/>
      <c r="U48" s="14"/>
      <c r="V48" s="14"/>
      <c r="W48" s="14"/>
      <c r="X48" s="14"/>
      <c r="Y48" s="14"/>
    </row>
    <row r="49" spans="1:25" ht="18" customHeight="1" x14ac:dyDescent="0.25">
      <c r="A49" s="10">
        <v>42186</v>
      </c>
      <c r="B49" s="11">
        <v>33709</v>
      </c>
      <c r="C49" s="11">
        <v>855</v>
      </c>
      <c r="D49" s="11">
        <v>24115</v>
      </c>
      <c r="E49" s="11">
        <v>2478</v>
      </c>
      <c r="F49" s="11">
        <v>11561</v>
      </c>
      <c r="G49" s="11">
        <v>31909</v>
      </c>
      <c r="H49" s="11">
        <v>5459</v>
      </c>
      <c r="I49" s="11">
        <v>9180</v>
      </c>
      <c r="J49" s="11">
        <v>3266</v>
      </c>
      <c r="K49" s="11">
        <v>20539</v>
      </c>
      <c r="L49" s="11">
        <v>20154</v>
      </c>
      <c r="M49" s="11">
        <v>6971</v>
      </c>
      <c r="N49" s="12">
        <v>170196</v>
      </c>
      <c r="O49" s="15">
        <f t="shared" si="0"/>
        <v>6.5408953811578741E-3</v>
      </c>
      <c r="P49" s="14"/>
      <c r="Q49" s="14"/>
      <c r="R49" s="14"/>
      <c r="S49" s="14"/>
      <c r="T49" s="14"/>
      <c r="U49" s="14"/>
      <c r="V49" s="14"/>
      <c r="W49" s="14"/>
      <c r="X49" s="14"/>
      <c r="Y49" s="14"/>
    </row>
    <row r="50" spans="1:25" ht="18" customHeight="1" x14ac:dyDescent="0.25">
      <c r="A50" s="10">
        <v>42217</v>
      </c>
      <c r="B50" s="11">
        <v>32523</v>
      </c>
      <c r="C50" s="11">
        <v>841</v>
      </c>
      <c r="D50" s="11">
        <v>24021</v>
      </c>
      <c r="E50" s="11">
        <v>2509</v>
      </c>
      <c r="F50" s="11">
        <v>11350</v>
      </c>
      <c r="G50" s="11">
        <v>31928</v>
      </c>
      <c r="H50" s="11">
        <v>5366</v>
      </c>
      <c r="I50" s="11">
        <v>9206</v>
      </c>
      <c r="J50" s="11">
        <v>3250</v>
      </c>
      <c r="K50" s="11">
        <v>20430</v>
      </c>
      <c r="L50" s="11">
        <v>20221</v>
      </c>
      <c r="M50" s="11">
        <v>6909</v>
      </c>
      <c r="N50" s="12">
        <v>168554</v>
      </c>
      <c r="O50" s="15">
        <f t="shared" si="0"/>
        <v>-9.6477002984793891E-3</v>
      </c>
      <c r="P50" s="14"/>
      <c r="Q50" s="14"/>
      <c r="R50" s="14"/>
      <c r="S50" s="14"/>
      <c r="T50" s="14"/>
      <c r="U50" s="14"/>
      <c r="V50" s="14"/>
      <c r="W50" s="14"/>
      <c r="X50" s="14"/>
      <c r="Y50" s="14"/>
    </row>
    <row r="51" spans="1:25" ht="18" customHeight="1" x14ac:dyDescent="0.25">
      <c r="A51" s="10">
        <v>42248</v>
      </c>
      <c r="B51" s="11">
        <v>32709</v>
      </c>
      <c r="C51" s="11">
        <v>848</v>
      </c>
      <c r="D51" s="11">
        <v>23584</v>
      </c>
      <c r="E51" s="11">
        <v>2502</v>
      </c>
      <c r="F51" s="11">
        <v>11246</v>
      </c>
      <c r="G51" s="11">
        <v>31808</v>
      </c>
      <c r="H51" s="11">
        <v>5361</v>
      </c>
      <c r="I51" s="11">
        <v>9177</v>
      </c>
      <c r="J51" s="11">
        <v>3207</v>
      </c>
      <c r="K51" s="11">
        <v>20068</v>
      </c>
      <c r="L51" s="11">
        <v>20358</v>
      </c>
      <c r="M51" s="11">
        <v>6807</v>
      </c>
      <c r="N51" s="12">
        <v>167675</v>
      </c>
      <c r="O51" s="15">
        <f t="shared" si="0"/>
        <v>-5.2149459520390851E-3</v>
      </c>
      <c r="P51" s="14"/>
      <c r="Q51" s="14"/>
      <c r="R51" s="14"/>
      <c r="S51" s="14"/>
      <c r="T51" s="14"/>
      <c r="U51" s="14"/>
      <c r="V51" s="14"/>
      <c r="W51" s="14"/>
      <c r="X51" s="14"/>
      <c r="Y51" s="14"/>
    </row>
    <row r="52" spans="1:25" ht="18" customHeight="1" x14ac:dyDescent="0.25">
      <c r="A52" s="10">
        <v>42278</v>
      </c>
      <c r="B52" s="11">
        <v>32367</v>
      </c>
      <c r="C52" s="11">
        <v>881</v>
      </c>
      <c r="D52" s="11">
        <v>23626</v>
      </c>
      <c r="E52" s="11">
        <v>2475</v>
      </c>
      <c r="F52" s="11">
        <v>10956</v>
      </c>
      <c r="G52" s="11">
        <v>31896</v>
      </c>
      <c r="H52" s="11">
        <v>5330</v>
      </c>
      <c r="I52" s="11">
        <v>9017</v>
      </c>
      <c r="J52" s="11">
        <v>3242</v>
      </c>
      <c r="K52" s="11">
        <v>20058</v>
      </c>
      <c r="L52" s="11">
        <v>20365</v>
      </c>
      <c r="M52" s="11">
        <v>6806</v>
      </c>
      <c r="N52" s="12">
        <v>167019</v>
      </c>
      <c r="O52" s="15">
        <f t="shared" si="0"/>
        <v>-3.9123304010735271E-3</v>
      </c>
      <c r="P52" s="14"/>
      <c r="Q52" s="14"/>
      <c r="R52" s="14"/>
      <c r="S52" s="14"/>
      <c r="T52" s="14"/>
      <c r="U52" s="14"/>
      <c r="V52" s="14"/>
      <c r="W52" s="14"/>
      <c r="X52" s="14"/>
      <c r="Y52" s="14"/>
    </row>
    <row r="53" spans="1:25" ht="18" customHeight="1" x14ac:dyDescent="0.25">
      <c r="A53" s="10">
        <v>42309</v>
      </c>
      <c r="B53" s="11">
        <v>30624</v>
      </c>
      <c r="C53" s="11">
        <v>858</v>
      </c>
      <c r="D53" s="11">
        <v>23691</v>
      </c>
      <c r="E53" s="11">
        <v>2429</v>
      </c>
      <c r="F53" s="11">
        <v>10765</v>
      </c>
      <c r="G53" s="11">
        <v>31912</v>
      </c>
      <c r="H53" s="11">
        <v>5337</v>
      </c>
      <c r="I53" s="11">
        <v>8907</v>
      </c>
      <c r="J53" s="11">
        <v>3243</v>
      </c>
      <c r="K53" s="11">
        <v>19746</v>
      </c>
      <c r="L53" s="11">
        <v>20432</v>
      </c>
      <c r="M53" s="11">
        <v>6814</v>
      </c>
      <c r="N53" s="12">
        <v>164758</v>
      </c>
      <c r="O53" s="15">
        <f t="shared" si="0"/>
        <v>-1.3537381974505935E-2</v>
      </c>
      <c r="P53" s="14"/>
      <c r="Q53" s="14"/>
      <c r="R53" s="14"/>
      <c r="S53" s="14"/>
      <c r="T53" s="14"/>
      <c r="U53" s="14"/>
      <c r="V53" s="14"/>
      <c r="W53" s="14"/>
      <c r="X53" s="14"/>
      <c r="Y53" s="14"/>
    </row>
    <row r="54" spans="1:25" ht="18" customHeight="1" x14ac:dyDescent="0.25">
      <c r="A54" s="10">
        <v>42339</v>
      </c>
      <c r="B54" s="11">
        <v>28947</v>
      </c>
      <c r="C54" s="11">
        <v>865</v>
      </c>
      <c r="D54" s="11">
        <v>23264</v>
      </c>
      <c r="E54" s="11">
        <v>2421</v>
      </c>
      <c r="F54" s="11">
        <v>10612</v>
      </c>
      <c r="G54" s="11">
        <v>32180</v>
      </c>
      <c r="H54" s="11">
        <v>5317</v>
      </c>
      <c r="I54" s="11">
        <v>8756</v>
      </c>
      <c r="J54" s="11">
        <v>3245</v>
      </c>
      <c r="K54" s="11">
        <v>19788</v>
      </c>
      <c r="L54" s="11">
        <v>20193</v>
      </c>
      <c r="M54" s="11">
        <v>6805</v>
      </c>
      <c r="N54" s="12">
        <v>162393</v>
      </c>
      <c r="O54" s="15">
        <f t="shared" si="0"/>
        <v>-1.4354386433435673E-2</v>
      </c>
      <c r="P54" s="14"/>
      <c r="Q54" s="14"/>
      <c r="R54" s="14"/>
      <c r="S54" s="14"/>
      <c r="T54" s="14"/>
      <c r="U54" s="14"/>
      <c r="V54" s="14"/>
      <c r="W54" s="14"/>
      <c r="X54" s="14"/>
      <c r="Y54" s="14"/>
    </row>
    <row r="55" spans="1:25" ht="18" customHeight="1" x14ac:dyDescent="0.25">
      <c r="A55" s="10">
        <v>42370</v>
      </c>
      <c r="B55" s="11">
        <v>28146</v>
      </c>
      <c r="C55" s="11">
        <v>854</v>
      </c>
      <c r="D55" s="11">
        <v>23085</v>
      </c>
      <c r="E55" s="11">
        <v>2473</v>
      </c>
      <c r="F55" s="11">
        <v>10346</v>
      </c>
      <c r="G55" s="11">
        <v>31860</v>
      </c>
      <c r="H55" s="11">
        <v>5348</v>
      </c>
      <c r="I55" s="11">
        <v>8720</v>
      </c>
      <c r="J55" s="11">
        <v>3263</v>
      </c>
      <c r="K55" s="11">
        <v>18362</v>
      </c>
      <c r="L55" s="11">
        <v>20040</v>
      </c>
      <c r="M55" s="11">
        <v>6753</v>
      </c>
      <c r="N55" s="12">
        <v>159250</v>
      </c>
      <c r="O55" s="15">
        <f t="shared" si="0"/>
        <v>-1.9354282512177301E-2</v>
      </c>
      <c r="P55" s="14"/>
      <c r="Q55" s="14"/>
      <c r="R55" s="14"/>
      <c r="S55" s="14"/>
      <c r="T55" s="14"/>
      <c r="U55" s="14"/>
      <c r="V55" s="14"/>
      <c r="W55" s="14"/>
      <c r="X55" s="14"/>
      <c r="Y55" s="14"/>
    </row>
    <row r="56" spans="1:25" ht="18" customHeight="1" x14ac:dyDescent="0.25">
      <c r="A56" s="10">
        <v>42401</v>
      </c>
      <c r="B56" s="11">
        <v>27882</v>
      </c>
      <c r="C56" s="11">
        <v>844</v>
      </c>
      <c r="D56" s="11">
        <v>22797</v>
      </c>
      <c r="E56" s="11">
        <v>2484</v>
      </c>
      <c r="F56" s="11">
        <v>10187</v>
      </c>
      <c r="G56" s="11">
        <v>31714</v>
      </c>
      <c r="H56" s="11">
        <v>5217</v>
      </c>
      <c r="I56" s="11">
        <v>8665</v>
      </c>
      <c r="J56" s="11">
        <v>3284</v>
      </c>
      <c r="K56" s="11">
        <v>18203</v>
      </c>
      <c r="L56" s="11">
        <v>20219</v>
      </c>
      <c r="M56" s="11">
        <v>6724</v>
      </c>
      <c r="N56" s="12">
        <v>158220</v>
      </c>
      <c r="O56" s="15">
        <f t="shared" si="0"/>
        <v>-6.467817896389283E-3</v>
      </c>
      <c r="P56" s="14"/>
      <c r="Q56" s="14"/>
      <c r="R56" s="14"/>
      <c r="S56" s="14"/>
      <c r="T56" s="14"/>
      <c r="U56" s="14"/>
      <c r="V56" s="14"/>
      <c r="W56" s="14"/>
      <c r="X56" s="14"/>
      <c r="Y56" s="14"/>
    </row>
    <row r="57" spans="1:25" ht="18" customHeight="1" x14ac:dyDescent="0.25">
      <c r="A57" s="10">
        <v>42430</v>
      </c>
      <c r="B57" s="11">
        <v>31517</v>
      </c>
      <c r="C57" s="11">
        <v>1006</v>
      </c>
      <c r="D57" s="11">
        <v>22813</v>
      </c>
      <c r="E57" s="11">
        <v>2523</v>
      </c>
      <c r="F57" s="11">
        <v>9987</v>
      </c>
      <c r="G57" s="11">
        <v>31624</v>
      </c>
      <c r="H57" s="11">
        <v>5247</v>
      </c>
      <c r="I57" s="11">
        <v>8625</v>
      </c>
      <c r="J57" s="11">
        <v>3269</v>
      </c>
      <c r="K57" s="11">
        <v>18338</v>
      </c>
      <c r="L57" s="11">
        <v>20596</v>
      </c>
      <c r="M57" s="11">
        <v>6756</v>
      </c>
      <c r="N57" s="12">
        <v>162301</v>
      </c>
      <c r="O57" s="15">
        <f t="shared" si="0"/>
        <v>2.5793199342687423E-2</v>
      </c>
      <c r="P57" s="14"/>
      <c r="Q57" s="14"/>
      <c r="R57" s="14"/>
      <c r="S57" s="14"/>
      <c r="T57" s="14"/>
      <c r="U57" s="14"/>
      <c r="V57" s="14"/>
      <c r="W57" s="14"/>
      <c r="X57" s="14"/>
      <c r="Y57" s="14"/>
    </row>
    <row r="58" spans="1:25" ht="18" customHeight="1" x14ac:dyDescent="0.25">
      <c r="A58" s="10">
        <v>42461</v>
      </c>
      <c r="B58" s="11">
        <v>35429</v>
      </c>
      <c r="C58" s="11">
        <v>1434</v>
      </c>
      <c r="D58" s="11">
        <v>22751</v>
      </c>
      <c r="E58" s="11">
        <v>2526</v>
      </c>
      <c r="F58" s="11">
        <v>9848</v>
      </c>
      <c r="G58" s="11">
        <v>31682</v>
      </c>
      <c r="H58" s="11">
        <v>5195</v>
      </c>
      <c r="I58" s="11">
        <v>8668</v>
      </c>
      <c r="J58" s="11">
        <v>3300</v>
      </c>
      <c r="K58" s="11">
        <v>18817</v>
      </c>
      <c r="L58" s="11">
        <v>20799</v>
      </c>
      <c r="M58" s="11">
        <v>6738</v>
      </c>
      <c r="N58" s="12">
        <v>167187</v>
      </c>
      <c r="O58" s="15">
        <f t="shared" si="0"/>
        <v>3.0104558813562443E-2</v>
      </c>
      <c r="P58" s="14"/>
      <c r="Q58" s="14"/>
      <c r="R58" s="14"/>
      <c r="S58" s="14"/>
      <c r="T58" s="14"/>
      <c r="U58" s="14"/>
      <c r="V58" s="14"/>
      <c r="W58" s="14"/>
      <c r="X58" s="14"/>
      <c r="Y58" s="14"/>
    </row>
    <row r="59" spans="1:25" ht="18" customHeight="1" x14ac:dyDescent="0.25">
      <c r="A59" s="10">
        <v>42491</v>
      </c>
      <c r="B59" s="11">
        <v>38077</v>
      </c>
      <c r="C59" s="11">
        <v>1566</v>
      </c>
      <c r="D59" s="11">
        <v>23045</v>
      </c>
      <c r="E59" s="11">
        <v>2531</v>
      </c>
      <c r="F59" s="11">
        <v>9804</v>
      </c>
      <c r="G59" s="11">
        <v>31655</v>
      </c>
      <c r="H59" s="11">
        <v>5166</v>
      </c>
      <c r="I59" s="11">
        <v>8810</v>
      </c>
      <c r="J59" s="11">
        <v>3301</v>
      </c>
      <c r="K59" s="11">
        <v>18817</v>
      </c>
      <c r="L59" s="11">
        <v>20905</v>
      </c>
      <c r="M59" s="11">
        <v>6801</v>
      </c>
      <c r="N59" s="12">
        <v>170478</v>
      </c>
      <c r="O59" s="15">
        <f t="shared" si="0"/>
        <v>1.9684544850975261E-2</v>
      </c>
      <c r="P59" s="14"/>
      <c r="Q59" s="14"/>
      <c r="R59" s="14"/>
      <c r="S59" s="14"/>
      <c r="T59" s="14"/>
      <c r="U59" s="14"/>
      <c r="V59" s="14"/>
      <c r="W59" s="14"/>
      <c r="X59" s="14"/>
      <c r="Y59" s="14"/>
    </row>
    <row r="60" spans="1:25" ht="18" customHeight="1" x14ac:dyDescent="0.25">
      <c r="A60" s="10">
        <v>42522</v>
      </c>
      <c r="B60" s="11">
        <v>40456</v>
      </c>
      <c r="C60" s="11">
        <v>1773</v>
      </c>
      <c r="D60" s="11">
        <v>23121</v>
      </c>
      <c r="E60" s="11">
        <v>2670</v>
      </c>
      <c r="F60" s="11">
        <v>9771</v>
      </c>
      <c r="G60" s="11">
        <v>31782</v>
      </c>
      <c r="H60" s="11">
        <v>5124</v>
      </c>
      <c r="I60" s="11">
        <v>8913</v>
      </c>
      <c r="J60" s="11">
        <v>3314</v>
      </c>
      <c r="K60" s="11">
        <v>18865</v>
      </c>
      <c r="L60" s="11">
        <v>20997</v>
      </c>
      <c r="M60" s="11">
        <v>6837</v>
      </c>
      <c r="N60" s="12">
        <v>173623</v>
      </c>
      <c r="O60" s="15">
        <f t="shared" si="0"/>
        <v>1.84481282042257E-2</v>
      </c>
      <c r="P60" s="14"/>
      <c r="Q60" s="14"/>
      <c r="R60" s="14"/>
      <c r="S60" s="14"/>
      <c r="T60" s="14"/>
      <c r="U60" s="14"/>
      <c r="V60" s="14"/>
      <c r="W60" s="14"/>
      <c r="X60" s="14"/>
      <c r="Y60" s="14"/>
    </row>
    <row r="61" spans="1:25" ht="18" customHeight="1" x14ac:dyDescent="0.25">
      <c r="A61" s="10">
        <v>42552</v>
      </c>
      <c r="B61" s="11">
        <v>41670</v>
      </c>
      <c r="C61" s="11">
        <v>1810</v>
      </c>
      <c r="D61" s="11">
        <v>23196</v>
      </c>
      <c r="E61" s="11">
        <v>2761</v>
      </c>
      <c r="F61" s="11">
        <v>9662</v>
      </c>
      <c r="G61" s="11">
        <v>31690</v>
      </c>
      <c r="H61" s="11">
        <v>5102</v>
      </c>
      <c r="I61" s="11">
        <v>9050</v>
      </c>
      <c r="J61" s="11">
        <v>3288</v>
      </c>
      <c r="K61" s="11">
        <v>18837</v>
      </c>
      <c r="L61" s="11">
        <v>20975</v>
      </c>
      <c r="M61" s="11">
        <v>6823</v>
      </c>
      <c r="N61" s="12">
        <v>174864</v>
      </c>
      <c r="O61" s="15">
        <f t="shared" si="0"/>
        <v>7.1476705275221875E-3</v>
      </c>
      <c r="P61" s="14"/>
      <c r="Q61" s="14"/>
      <c r="R61" s="14"/>
      <c r="S61" s="14"/>
      <c r="T61" s="14"/>
      <c r="U61" s="14"/>
      <c r="V61" s="14"/>
      <c r="W61" s="14"/>
      <c r="X61" s="14"/>
      <c r="Y61" s="14"/>
    </row>
    <row r="62" spans="1:25" ht="18" customHeight="1" x14ac:dyDescent="0.25">
      <c r="A62" s="10">
        <v>42583</v>
      </c>
      <c r="B62" s="11">
        <v>36260</v>
      </c>
      <c r="C62" s="11">
        <v>1739</v>
      </c>
      <c r="D62" s="11">
        <v>22916</v>
      </c>
      <c r="E62" s="11">
        <v>2817</v>
      </c>
      <c r="F62" s="11">
        <v>9709</v>
      </c>
      <c r="G62" s="11">
        <v>31404</v>
      </c>
      <c r="H62" s="11">
        <v>5091</v>
      </c>
      <c r="I62" s="11">
        <v>9042</v>
      </c>
      <c r="J62" s="11">
        <v>3323</v>
      </c>
      <c r="K62" s="11">
        <v>18285</v>
      </c>
      <c r="L62" s="11">
        <v>21085</v>
      </c>
      <c r="M62" s="11">
        <v>6806</v>
      </c>
      <c r="N62" s="12">
        <v>168477</v>
      </c>
      <c r="O62" s="15">
        <f t="shared" si="0"/>
        <v>-3.6525528410650598E-2</v>
      </c>
      <c r="P62" s="14"/>
      <c r="Q62" s="14"/>
      <c r="R62" s="14"/>
      <c r="S62" s="14"/>
      <c r="T62" s="14"/>
      <c r="U62" s="14"/>
      <c r="V62" s="14"/>
      <c r="W62" s="14"/>
      <c r="X62" s="14"/>
      <c r="Y62" s="14"/>
    </row>
    <row r="63" spans="1:25" ht="18" customHeight="1" x14ac:dyDescent="0.25">
      <c r="A63" s="10">
        <v>42614</v>
      </c>
      <c r="B63" s="11">
        <v>37271</v>
      </c>
      <c r="C63" s="11">
        <v>1747</v>
      </c>
      <c r="D63" s="11">
        <v>23111</v>
      </c>
      <c r="E63" s="11">
        <v>2930</v>
      </c>
      <c r="F63" s="11">
        <v>9648</v>
      </c>
      <c r="G63" s="11">
        <v>31373</v>
      </c>
      <c r="H63" s="11">
        <v>5066</v>
      </c>
      <c r="I63" s="11">
        <v>9095</v>
      </c>
      <c r="J63" s="11">
        <v>3327</v>
      </c>
      <c r="K63" s="11">
        <v>17681</v>
      </c>
      <c r="L63" s="11">
        <v>21187</v>
      </c>
      <c r="M63" s="11">
        <v>6805</v>
      </c>
      <c r="N63" s="12">
        <v>169241</v>
      </c>
      <c r="O63" s="15">
        <f t="shared" si="0"/>
        <v>4.5347436148555076E-3</v>
      </c>
      <c r="P63" s="14"/>
      <c r="Q63" s="14"/>
      <c r="R63" s="14"/>
      <c r="S63" s="14"/>
      <c r="T63" s="14"/>
      <c r="U63" s="14"/>
      <c r="V63" s="14"/>
      <c r="W63" s="14"/>
      <c r="X63" s="14"/>
      <c r="Y63" s="14"/>
    </row>
    <row r="64" spans="1:25" ht="18" customHeight="1" x14ac:dyDescent="0.25">
      <c r="A64" s="10">
        <v>42644</v>
      </c>
      <c r="B64" s="11">
        <v>37389</v>
      </c>
      <c r="C64" s="11">
        <v>1772</v>
      </c>
      <c r="D64" s="11">
        <v>22909</v>
      </c>
      <c r="E64" s="11">
        <v>2917</v>
      </c>
      <c r="F64" s="11">
        <v>9617</v>
      </c>
      <c r="G64" s="11">
        <v>31439</v>
      </c>
      <c r="H64" s="11">
        <v>5040</v>
      </c>
      <c r="I64" s="11">
        <v>9158</v>
      </c>
      <c r="J64" s="11">
        <v>3315</v>
      </c>
      <c r="K64" s="11">
        <v>17446</v>
      </c>
      <c r="L64" s="11">
        <v>21307</v>
      </c>
      <c r="M64" s="11">
        <v>6841</v>
      </c>
      <c r="N64" s="12">
        <v>169150</v>
      </c>
      <c r="O64" s="15">
        <f t="shared" si="0"/>
        <v>-5.3769476663456661E-4</v>
      </c>
      <c r="P64" s="14"/>
      <c r="Q64" s="14"/>
      <c r="R64" s="14"/>
      <c r="S64" s="14"/>
      <c r="T64" s="14"/>
      <c r="U64" s="14"/>
      <c r="V64" s="14"/>
      <c r="W64" s="14"/>
      <c r="X64" s="14"/>
      <c r="Y64" s="14"/>
    </row>
    <row r="65" spans="1:25" ht="18" customHeight="1" x14ac:dyDescent="0.25">
      <c r="A65" s="10">
        <v>42675</v>
      </c>
      <c r="B65" s="11">
        <v>37507</v>
      </c>
      <c r="C65" s="11">
        <v>1797</v>
      </c>
      <c r="D65" s="11">
        <v>22702</v>
      </c>
      <c r="E65" s="11">
        <v>2904</v>
      </c>
      <c r="F65" s="11">
        <v>9586</v>
      </c>
      <c r="G65" s="11">
        <v>31508</v>
      </c>
      <c r="H65" s="11">
        <v>5015</v>
      </c>
      <c r="I65" s="11">
        <v>9221</v>
      </c>
      <c r="J65" s="11">
        <v>3303</v>
      </c>
      <c r="K65" s="11">
        <v>17212</v>
      </c>
      <c r="L65" s="11">
        <v>21427</v>
      </c>
      <c r="M65" s="11">
        <v>6877</v>
      </c>
      <c r="N65" s="12">
        <v>169059</v>
      </c>
      <c r="O65" s="15">
        <f t="shared" si="0"/>
        <v>-5.379840378362255E-4</v>
      </c>
      <c r="P65" s="14"/>
      <c r="Q65" s="14"/>
      <c r="R65" s="14"/>
      <c r="S65" s="14"/>
      <c r="T65" s="14"/>
      <c r="U65" s="14"/>
      <c r="V65" s="14"/>
      <c r="W65" s="14"/>
      <c r="X65" s="14"/>
      <c r="Y65" s="14"/>
    </row>
    <row r="66" spans="1:25" ht="18" customHeight="1" x14ac:dyDescent="0.25">
      <c r="A66" s="10">
        <v>42705</v>
      </c>
      <c r="B66" s="11">
        <v>34490</v>
      </c>
      <c r="C66" s="11">
        <v>1615</v>
      </c>
      <c r="D66" s="11">
        <v>22556</v>
      </c>
      <c r="E66" s="11">
        <v>2881</v>
      </c>
      <c r="F66" s="11">
        <v>9474</v>
      </c>
      <c r="G66" s="11">
        <v>31691</v>
      </c>
      <c r="H66" s="11">
        <v>4998</v>
      </c>
      <c r="I66" s="11">
        <v>9000</v>
      </c>
      <c r="J66" s="11">
        <v>3326</v>
      </c>
      <c r="K66" s="11">
        <v>17263</v>
      </c>
      <c r="L66" s="11">
        <v>21124</v>
      </c>
      <c r="M66" s="11">
        <v>6857</v>
      </c>
      <c r="N66" s="12">
        <v>165275</v>
      </c>
      <c r="O66" s="15">
        <f t="shared" si="0"/>
        <v>-2.2382718459236117E-2</v>
      </c>
      <c r="P66" s="14"/>
      <c r="Q66" s="14"/>
      <c r="R66" s="14"/>
      <c r="S66" s="14"/>
      <c r="T66" s="14"/>
      <c r="U66" s="14"/>
      <c r="V66" s="14"/>
      <c r="W66" s="14"/>
      <c r="X66" s="14"/>
      <c r="Y66" s="14"/>
    </row>
    <row r="67" spans="1:25" ht="18" customHeight="1" x14ac:dyDescent="0.25">
      <c r="A67" s="10">
        <v>42736</v>
      </c>
      <c r="B67" s="11">
        <v>33630</v>
      </c>
      <c r="C67" s="11">
        <v>1757</v>
      </c>
      <c r="D67" s="11">
        <v>22212</v>
      </c>
      <c r="E67" s="11">
        <v>2870</v>
      </c>
      <c r="F67" s="11">
        <v>9611</v>
      </c>
      <c r="G67" s="11">
        <v>31322</v>
      </c>
      <c r="H67" s="11">
        <v>5008</v>
      </c>
      <c r="I67" s="11">
        <v>8968</v>
      </c>
      <c r="J67" s="11">
        <v>3319</v>
      </c>
      <c r="K67" s="11">
        <v>17268</v>
      </c>
      <c r="L67" s="11">
        <v>20982</v>
      </c>
      <c r="M67" s="11">
        <v>6840</v>
      </c>
      <c r="N67" s="12">
        <v>163787</v>
      </c>
      <c r="O67" s="15">
        <f t="shared" si="0"/>
        <v>-9.0031765239751982E-3</v>
      </c>
      <c r="P67" s="14"/>
      <c r="Q67" s="14"/>
      <c r="R67" s="14"/>
      <c r="S67" s="14"/>
      <c r="T67" s="14"/>
      <c r="U67" s="14"/>
      <c r="V67" s="14"/>
      <c r="W67" s="14"/>
      <c r="X67" s="14"/>
      <c r="Y67" s="14"/>
    </row>
    <row r="68" spans="1:25" ht="18" customHeight="1" x14ac:dyDescent="0.25">
      <c r="A68" s="10">
        <v>42767</v>
      </c>
      <c r="B68" s="11">
        <v>32601</v>
      </c>
      <c r="C68" s="11">
        <v>1837</v>
      </c>
      <c r="D68" s="11">
        <v>21806</v>
      </c>
      <c r="E68" s="11">
        <v>2870</v>
      </c>
      <c r="F68" s="11">
        <v>9789</v>
      </c>
      <c r="G68" s="11">
        <v>31148</v>
      </c>
      <c r="H68" s="11">
        <v>4942</v>
      </c>
      <c r="I68" s="11">
        <v>8913</v>
      </c>
      <c r="J68" s="11">
        <v>3321</v>
      </c>
      <c r="K68" s="11">
        <v>17722</v>
      </c>
      <c r="L68" s="11">
        <v>21059</v>
      </c>
      <c r="M68" s="11">
        <v>6815</v>
      </c>
      <c r="N68" s="12">
        <v>162823</v>
      </c>
      <c r="O68" s="15">
        <f t="shared" si="0"/>
        <v>-5.8856930037182176E-3</v>
      </c>
      <c r="P68" s="14"/>
      <c r="Q68" s="14"/>
      <c r="R68" s="14"/>
      <c r="S68" s="14"/>
      <c r="T68" s="14"/>
      <c r="U68" s="14"/>
      <c r="V68" s="14"/>
      <c r="W68" s="14"/>
      <c r="X68" s="14"/>
      <c r="Y68" s="14"/>
    </row>
    <row r="69" spans="1:25" ht="18" customHeight="1" x14ac:dyDescent="0.25">
      <c r="A69" s="10">
        <v>42795</v>
      </c>
      <c r="B69" s="11">
        <v>36124</v>
      </c>
      <c r="C69" s="11">
        <v>2003</v>
      </c>
      <c r="D69" s="11">
        <v>21785</v>
      </c>
      <c r="E69" s="11">
        <v>2944</v>
      </c>
      <c r="F69" s="11">
        <v>9917</v>
      </c>
      <c r="G69" s="11">
        <v>31074</v>
      </c>
      <c r="H69" s="11">
        <v>4791</v>
      </c>
      <c r="I69" s="11">
        <v>8938</v>
      </c>
      <c r="J69" s="11">
        <v>3307</v>
      </c>
      <c r="K69" s="11">
        <v>18345</v>
      </c>
      <c r="L69" s="11">
        <v>21435</v>
      </c>
      <c r="M69" s="11">
        <v>6762</v>
      </c>
      <c r="N69" s="12">
        <v>167425</v>
      </c>
      <c r="O69" s="15">
        <f t="shared" si="0"/>
        <v>2.8263820221958724E-2</v>
      </c>
      <c r="P69" s="14"/>
      <c r="Q69" s="14"/>
      <c r="R69" s="14"/>
      <c r="S69" s="14"/>
      <c r="T69" s="14"/>
      <c r="U69" s="14"/>
      <c r="V69" s="14"/>
      <c r="W69" s="14"/>
      <c r="X69" s="14"/>
      <c r="Y69" s="14"/>
    </row>
    <row r="70" spans="1:25" ht="18" customHeight="1" x14ac:dyDescent="0.25">
      <c r="A70" s="10">
        <v>42826</v>
      </c>
      <c r="B70" s="11">
        <v>39895</v>
      </c>
      <c r="C70" s="11">
        <v>3062</v>
      </c>
      <c r="D70" s="11">
        <v>21230</v>
      </c>
      <c r="E70" s="11">
        <v>2927</v>
      </c>
      <c r="F70" s="11">
        <v>9981</v>
      </c>
      <c r="G70" s="11">
        <v>31107</v>
      </c>
      <c r="H70" s="11">
        <v>4759</v>
      </c>
      <c r="I70" s="11">
        <v>8940</v>
      </c>
      <c r="J70" s="11">
        <v>3292</v>
      </c>
      <c r="K70" s="11">
        <v>18592</v>
      </c>
      <c r="L70" s="11">
        <v>21568</v>
      </c>
      <c r="M70" s="11">
        <v>6761</v>
      </c>
      <c r="N70" s="12">
        <v>172114</v>
      </c>
      <c r="O70" s="15">
        <f t="shared" si="0"/>
        <v>2.8006570106017703E-2</v>
      </c>
      <c r="P70" s="14"/>
      <c r="Q70" s="14"/>
      <c r="R70" s="14"/>
      <c r="S70" s="14"/>
      <c r="T70" s="14"/>
      <c r="U70" s="14"/>
      <c r="V70" s="14"/>
      <c r="W70" s="14"/>
      <c r="X70" s="14"/>
      <c r="Y70" s="14"/>
    </row>
    <row r="71" spans="1:25" ht="18" customHeight="1" x14ac:dyDescent="0.25">
      <c r="A71" s="10">
        <v>42856</v>
      </c>
      <c r="B71" s="11">
        <v>44732</v>
      </c>
      <c r="C71" s="11">
        <v>3449</v>
      </c>
      <c r="D71" s="11">
        <v>21589</v>
      </c>
      <c r="E71" s="11">
        <v>2991</v>
      </c>
      <c r="F71" s="11">
        <v>10240</v>
      </c>
      <c r="G71" s="11">
        <v>31225</v>
      </c>
      <c r="H71" s="11">
        <v>4729</v>
      </c>
      <c r="I71" s="11">
        <v>9141</v>
      </c>
      <c r="J71" s="11">
        <v>3286</v>
      </c>
      <c r="K71" s="11">
        <v>18840</v>
      </c>
      <c r="L71" s="11">
        <v>21649</v>
      </c>
      <c r="M71" s="11">
        <v>6755</v>
      </c>
      <c r="N71" s="12">
        <v>178626</v>
      </c>
      <c r="O71" s="15">
        <f t="shared" si="0"/>
        <v>3.7835388172955176E-2</v>
      </c>
      <c r="P71" s="14"/>
      <c r="Q71" s="14"/>
      <c r="R71" s="14"/>
      <c r="S71" s="14"/>
      <c r="T71" s="14"/>
      <c r="U71" s="14"/>
      <c r="V71" s="14"/>
      <c r="W71" s="14"/>
      <c r="X71" s="14"/>
      <c r="Y71" s="14"/>
    </row>
    <row r="72" spans="1:25" ht="18" customHeight="1" x14ac:dyDescent="0.25">
      <c r="A72" s="10">
        <v>42887</v>
      </c>
      <c r="B72" s="11">
        <v>47286</v>
      </c>
      <c r="C72" s="11">
        <v>3481</v>
      </c>
      <c r="D72" s="11">
        <v>22266</v>
      </c>
      <c r="E72" s="11">
        <v>3179</v>
      </c>
      <c r="F72" s="11">
        <v>10543</v>
      </c>
      <c r="G72" s="11">
        <v>31399</v>
      </c>
      <c r="H72" s="11">
        <v>4773</v>
      </c>
      <c r="I72" s="11">
        <v>9227</v>
      </c>
      <c r="J72" s="11">
        <v>3285</v>
      </c>
      <c r="K72" s="11">
        <v>18812</v>
      </c>
      <c r="L72" s="11">
        <v>21739</v>
      </c>
      <c r="M72" s="11">
        <v>6843</v>
      </c>
      <c r="N72" s="12">
        <v>182833</v>
      </c>
      <c r="O72" s="15">
        <f t="shared" ref="O72:O77" si="1">(N72/N71)-1</f>
        <v>2.3552002508033576E-2</v>
      </c>
      <c r="P72" s="14"/>
      <c r="Q72" s="14"/>
      <c r="R72" s="14"/>
      <c r="S72" s="14"/>
      <c r="T72" s="14"/>
      <c r="U72" s="14"/>
      <c r="V72" s="14"/>
      <c r="W72" s="14"/>
      <c r="X72" s="14"/>
      <c r="Y72" s="14"/>
    </row>
    <row r="73" spans="1:25" ht="18" customHeight="1" x14ac:dyDescent="0.25">
      <c r="A73" s="10">
        <v>42917</v>
      </c>
      <c r="B73" s="11">
        <v>46822</v>
      </c>
      <c r="C73" s="11">
        <v>3070</v>
      </c>
      <c r="D73" s="11">
        <v>22377</v>
      </c>
      <c r="E73" s="11">
        <v>3113</v>
      </c>
      <c r="F73" s="11">
        <v>10578</v>
      </c>
      <c r="G73" s="11">
        <v>31424</v>
      </c>
      <c r="H73" s="11">
        <v>4744</v>
      </c>
      <c r="I73" s="11">
        <v>9321</v>
      </c>
      <c r="J73" s="11">
        <v>3273</v>
      </c>
      <c r="K73" s="11">
        <v>17616</v>
      </c>
      <c r="L73" s="11">
        <v>21778</v>
      </c>
      <c r="M73" s="11">
        <v>6816</v>
      </c>
      <c r="N73" s="12">
        <v>180932</v>
      </c>
      <c r="O73" s="15">
        <f t="shared" si="1"/>
        <v>-1.0397466540504219E-2</v>
      </c>
      <c r="P73" s="14"/>
      <c r="Q73" s="14"/>
      <c r="R73" s="14"/>
      <c r="S73" s="14"/>
      <c r="T73" s="14"/>
      <c r="U73" s="14"/>
      <c r="V73" s="14"/>
      <c r="W73" s="14"/>
      <c r="X73" s="14"/>
      <c r="Y73" s="14"/>
    </row>
    <row r="74" spans="1:25" ht="18" customHeight="1" x14ac:dyDescent="0.25">
      <c r="A74" s="10">
        <v>42948</v>
      </c>
      <c r="B74" s="11">
        <v>46377</v>
      </c>
      <c r="C74" s="11">
        <v>2634</v>
      </c>
      <c r="D74" s="11">
        <v>22368</v>
      </c>
      <c r="E74" s="11">
        <v>3065</v>
      </c>
      <c r="F74" s="11">
        <v>10672</v>
      </c>
      <c r="G74" s="11">
        <v>31294</v>
      </c>
      <c r="H74" s="11">
        <v>4743</v>
      </c>
      <c r="I74" s="11">
        <v>9254</v>
      </c>
      <c r="J74" s="11">
        <v>3298</v>
      </c>
      <c r="K74" s="11">
        <v>17359</v>
      </c>
      <c r="L74" s="11">
        <v>21957</v>
      </c>
      <c r="M74" s="11">
        <v>6798</v>
      </c>
      <c r="N74" s="12">
        <v>179819</v>
      </c>
      <c r="O74" s="15">
        <f t="shared" si="1"/>
        <v>-6.1514823248512984E-3</v>
      </c>
      <c r="P74" s="14"/>
      <c r="Q74" s="14"/>
      <c r="R74" s="14"/>
      <c r="S74" s="14"/>
      <c r="T74" s="14"/>
      <c r="U74" s="14"/>
      <c r="V74" s="14"/>
      <c r="W74" s="14"/>
      <c r="X74" s="14"/>
      <c r="Y74" s="14"/>
    </row>
    <row r="75" spans="1:25" ht="18" customHeight="1" x14ac:dyDescent="0.25">
      <c r="A75" s="10">
        <v>42979</v>
      </c>
      <c r="B75" s="11">
        <v>46440</v>
      </c>
      <c r="C75" s="11">
        <v>2628</v>
      </c>
      <c r="D75" s="11">
        <v>22481</v>
      </c>
      <c r="E75" s="11">
        <v>3068</v>
      </c>
      <c r="F75" s="11">
        <v>10915</v>
      </c>
      <c r="G75" s="11">
        <v>31357</v>
      </c>
      <c r="H75" s="11">
        <v>4815</v>
      </c>
      <c r="I75" s="11">
        <v>9299</v>
      </c>
      <c r="J75" s="11">
        <v>3355</v>
      </c>
      <c r="K75" s="11">
        <v>17124</v>
      </c>
      <c r="L75" s="11">
        <v>22049</v>
      </c>
      <c r="M75" s="11">
        <v>6777</v>
      </c>
      <c r="N75" s="12">
        <v>180308</v>
      </c>
      <c r="O75" s="15">
        <f t="shared" si="1"/>
        <v>2.7194011756266345E-3</v>
      </c>
      <c r="P75" s="14"/>
      <c r="Q75" s="14"/>
      <c r="R75" s="14"/>
      <c r="S75" s="14"/>
      <c r="T75" s="14"/>
      <c r="U75" s="14"/>
      <c r="V75" s="14"/>
      <c r="W75" s="14"/>
      <c r="X75" s="14"/>
      <c r="Y75" s="14"/>
    </row>
    <row r="76" spans="1:25" ht="18" customHeight="1" x14ac:dyDescent="0.25">
      <c r="A76" s="10">
        <v>43009</v>
      </c>
      <c r="B76" s="11">
        <v>46980</v>
      </c>
      <c r="C76" s="11">
        <v>2563</v>
      </c>
      <c r="D76" s="11">
        <v>22106</v>
      </c>
      <c r="E76" s="11">
        <v>3072</v>
      </c>
      <c r="F76" s="11">
        <v>10960</v>
      </c>
      <c r="G76" s="11">
        <v>31522</v>
      </c>
      <c r="H76" s="11">
        <v>4821</v>
      </c>
      <c r="I76" s="11">
        <v>9117</v>
      </c>
      <c r="J76" s="11">
        <v>3327</v>
      </c>
      <c r="K76" s="11">
        <v>17012</v>
      </c>
      <c r="L76" s="11">
        <v>22125</v>
      </c>
      <c r="M76" s="11">
        <v>6728</v>
      </c>
      <c r="N76" s="12">
        <v>180333</v>
      </c>
      <c r="O76" s="15">
        <f t="shared" si="1"/>
        <v>1.3865164052617729E-4</v>
      </c>
      <c r="P76" s="14"/>
      <c r="Q76" s="14"/>
      <c r="R76" s="14"/>
      <c r="S76" s="14"/>
      <c r="T76" s="14"/>
      <c r="U76" s="14"/>
      <c r="V76" s="14"/>
      <c r="W76" s="14"/>
      <c r="X76" s="14"/>
      <c r="Y76" s="14"/>
    </row>
    <row r="77" spans="1:25" ht="18" customHeight="1" x14ac:dyDescent="0.25">
      <c r="A77" s="10">
        <v>43040</v>
      </c>
      <c r="B77" s="11">
        <v>43374</v>
      </c>
      <c r="C77" s="11">
        <v>2285</v>
      </c>
      <c r="D77" s="11">
        <v>21601</v>
      </c>
      <c r="E77" s="11">
        <v>2944</v>
      </c>
      <c r="F77" s="11">
        <v>11015</v>
      </c>
      <c r="G77" s="11">
        <v>31718</v>
      </c>
      <c r="H77" s="11">
        <v>4903</v>
      </c>
      <c r="I77" s="11">
        <v>9095</v>
      </c>
      <c r="J77" s="11">
        <v>3353</v>
      </c>
      <c r="K77" s="11">
        <v>17109</v>
      </c>
      <c r="L77" s="11">
        <v>22177</v>
      </c>
      <c r="M77" s="11">
        <v>6773</v>
      </c>
      <c r="N77" s="12">
        <v>176347</v>
      </c>
      <c r="O77" s="15">
        <f t="shared" si="1"/>
        <v>-2.2103552871631904E-2</v>
      </c>
      <c r="P77" s="14"/>
      <c r="Q77" s="14"/>
      <c r="R77" s="14"/>
      <c r="S77" s="14"/>
      <c r="T77" s="14"/>
      <c r="U77" s="14"/>
      <c r="V77" s="14"/>
      <c r="W77" s="14"/>
      <c r="X77" s="14"/>
      <c r="Y77" s="14"/>
    </row>
    <row r="78" spans="1:25" ht="18" customHeight="1" x14ac:dyDescent="0.25">
      <c r="A78" s="10">
        <v>43070</v>
      </c>
      <c r="B78" s="11">
        <v>43403</v>
      </c>
      <c r="C78" s="11">
        <v>2214</v>
      </c>
      <c r="D78" s="11">
        <v>21530</v>
      </c>
      <c r="E78" s="11">
        <v>2814</v>
      </c>
      <c r="F78" s="11">
        <v>11010</v>
      </c>
      <c r="G78" s="11">
        <v>31465</v>
      </c>
      <c r="H78" s="11">
        <v>5087</v>
      </c>
      <c r="I78" s="11">
        <v>9150</v>
      </c>
      <c r="J78" s="11">
        <v>3276</v>
      </c>
      <c r="K78" s="11">
        <v>17105</v>
      </c>
      <c r="L78" s="11">
        <v>22276</v>
      </c>
      <c r="M78" s="11">
        <v>6447</v>
      </c>
      <c r="N78" s="12">
        <v>175777</v>
      </c>
      <c r="O78" s="15">
        <f t="shared" ref="O78:O83" si="2">(N78-N77)/N77</f>
        <v>-3.2322636619846099E-3</v>
      </c>
      <c r="P78" s="14"/>
      <c r="Q78" s="14"/>
      <c r="R78" s="14"/>
      <c r="S78" s="14"/>
      <c r="T78" s="14"/>
      <c r="U78" s="14"/>
      <c r="V78" s="14"/>
      <c r="W78" s="14"/>
      <c r="X78" s="14"/>
      <c r="Y78" s="14"/>
    </row>
    <row r="79" spans="1:25" ht="18" customHeight="1" x14ac:dyDescent="0.25">
      <c r="A79" s="10">
        <v>43101</v>
      </c>
      <c r="B79" s="11">
        <v>43021</v>
      </c>
      <c r="C79" s="11">
        <v>1942</v>
      </c>
      <c r="D79" s="11">
        <v>21619</v>
      </c>
      <c r="E79" s="11">
        <v>2812</v>
      </c>
      <c r="F79" s="11">
        <v>10885</v>
      </c>
      <c r="G79" s="11">
        <v>31129</v>
      </c>
      <c r="H79" s="11">
        <v>5140</v>
      </c>
      <c r="I79" s="11">
        <v>9080</v>
      </c>
      <c r="J79" s="11">
        <v>3266</v>
      </c>
      <c r="K79" s="11">
        <v>17040</v>
      </c>
      <c r="L79" s="11">
        <v>22043</v>
      </c>
      <c r="M79" s="11">
        <v>6476</v>
      </c>
      <c r="N79" s="12">
        <v>174453</v>
      </c>
      <c r="O79" s="15">
        <f t="shared" si="2"/>
        <v>-7.5322710024633482E-3</v>
      </c>
      <c r="P79" s="14"/>
      <c r="Q79" s="14"/>
      <c r="R79" s="14"/>
      <c r="S79" s="14"/>
      <c r="T79" s="14"/>
      <c r="U79" s="14"/>
      <c r="V79" s="14"/>
      <c r="W79" s="14"/>
      <c r="X79" s="14"/>
      <c r="Y79" s="14"/>
    </row>
    <row r="80" spans="1:25" s="2" customFormat="1" ht="18" customHeight="1" x14ac:dyDescent="0.25">
      <c r="A80" s="10">
        <v>43132</v>
      </c>
      <c r="B80" s="11">
        <v>43792</v>
      </c>
      <c r="C80" s="11">
        <v>1949</v>
      </c>
      <c r="D80" s="11">
        <v>21335</v>
      </c>
      <c r="E80" s="11">
        <v>2765</v>
      </c>
      <c r="F80" s="11">
        <v>10725</v>
      </c>
      <c r="G80" s="11">
        <v>31114</v>
      </c>
      <c r="H80" s="11">
        <v>5023</v>
      </c>
      <c r="I80" s="11">
        <v>8999</v>
      </c>
      <c r="J80" s="11">
        <v>3252</v>
      </c>
      <c r="K80" s="11">
        <v>16940</v>
      </c>
      <c r="L80" s="11">
        <v>22132</v>
      </c>
      <c r="M80" s="11">
        <v>6455</v>
      </c>
      <c r="N80" s="12">
        <v>174481</v>
      </c>
      <c r="O80" s="15">
        <f t="shared" si="2"/>
        <v>1.6050168240156374E-4</v>
      </c>
      <c r="P80" s="14"/>
      <c r="Q80" s="14"/>
      <c r="R80" s="14"/>
      <c r="S80" s="14"/>
      <c r="T80" s="14"/>
      <c r="U80" s="14"/>
      <c r="V80" s="14"/>
      <c r="W80" s="14"/>
      <c r="X80" s="14"/>
      <c r="Y80" s="14"/>
    </row>
    <row r="81" spans="1:25" ht="18" customHeight="1" x14ac:dyDescent="0.25">
      <c r="A81" s="10">
        <v>43160</v>
      </c>
      <c r="B81" s="11">
        <v>47393</v>
      </c>
      <c r="C81" s="11">
        <v>2041</v>
      </c>
      <c r="D81" s="11">
        <v>21598</v>
      </c>
      <c r="E81" s="11">
        <v>2773</v>
      </c>
      <c r="F81" s="11">
        <v>10569</v>
      </c>
      <c r="G81" s="11">
        <v>30968</v>
      </c>
      <c r="H81" s="11">
        <v>4994</v>
      </c>
      <c r="I81" s="11">
        <v>8973</v>
      </c>
      <c r="J81" s="11">
        <v>3251</v>
      </c>
      <c r="K81" s="11">
        <v>17076</v>
      </c>
      <c r="L81" s="11">
        <v>22497</v>
      </c>
      <c r="M81" s="11">
        <v>6424</v>
      </c>
      <c r="N81" s="12">
        <v>178557</v>
      </c>
      <c r="O81" s="15">
        <f t="shared" si="2"/>
        <v>2.336070976209444E-2</v>
      </c>
      <c r="P81" s="14"/>
      <c r="Q81" s="14"/>
      <c r="R81" s="14"/>
      <c r="S81" s="14"/>
      <c r="T81" s="14"/>
      <c r="U81" s="14"/>
      <c r="V81" s="14"/>
      <c r="W81" s="14"/>
      <c r="X81" s="14"/>
      <c r="Y81" s="14"/>
    </row>
    <row r="82" spans="1:25" ht="18" customHeight="1" x14ac:dyDescent="0.25">
      <c r="A82" s="10">
        <v>43191</v>
      </c>
      <c r="B82" s="11">
        <v>51611</v>
      </c>
      <c r="C82" s="11">
        <v>2168</v>
      </c>
      <c r="D82" s="11">
        <v>21528</v>
      </c>
      <c r="E82" s="11">
        <v>2797</v>
      </c>
      <c r="F82" s="11">
        <v>10518</v>
      </c>
      <c r="G82" s="11">
        <v>31076</v>
      </c>
      <c r="H82" s="11">
        <v>4855</v>
      </c>
      <c r="I82" s="11">
        <v>8969</v>
      </c>
      <c r="J82" s="11">
        <v>3252</v>
      </c>
      <c r="K82" s="11">
        <v>17417</v>
      </c>
      <c r="L82" s="11">
        <v>22671</v>
      </c>
      <c r="M82" s="11">
        <v>6439</v>
      </c>
      <c r="N82" s="12">
        <v>183301</v>
      </c>
      <c r="O82" s="15">
        <f t="shared" si="2"/>
        <v>2.6568546738576476E-2</v>
      </c>
      <c r="P82" s="14"/>
      <c r="Q82" s="14"/>
      <c r="R82" s="14"/>
      <c r="S82" s="14"/>
      <c r="T82" s="14"/>
      <c r="U82" s="14"/>
      <c r="V82" s="14"/>
      <c r="W82" s="14"/>
      <c r="X82" s="14"/>
      <c r="Y82" s="14"/>
    </row>
    <row r="83" spans="1:25" ht="18" customHeight="1" x14ac:dyDescent="0.25">
      <c r="A83" s="10">
        <v>43221</v>
      </c>
      <c r="B83" s="11">
        <v>55070</v>
      </c>
      <c r="C83" s="11">
        <v>2442</v>
      </c>
      <c r="D83" s="11">
        <v>22181</v>
      </c>
      <c r="E83" s="11">
        <v>2777</v>
      </c>
      <c r="F83" s="11">
        <v>10436</v>
      </c>
      <c r="G83" s="11">
        <v>31101</v>
      </c>
      <c r="H83" s="11">
        <v>4798</v>
      </c>
      <c r="I83" s="11">
        <v>9091</v>
      </c>
      <c r="J83" s="11">
        <v>3249</v>
      </c>
      <c r="K83" s="11">
        <v>17807</v>
      </c>
      <c r="L83" s="11">
        <v>22845</v>
      </c>
      <c r="M83" s="11">
        <v>6438</v>
      </c>
      <c r="N83" s="12">
        <v>188235</v>
      </c>
      <c r="O83" s="16">
        <f t="shared" si="2"/>
        <v>2.691747453641824E-2</v>
      </c>
      <c r="P83" s="14"/>
      <c r="Q83" s="14"/>
      <c r="R83" s="14"/>
      <c r="S83" s="14"/>
      <c r="T83" s="14"/>
      <c r="U83" s="14"/>
      <c r="V83" s="14"/>
      <c r="W83" s="14"/>
      <c r="X83" s="14"/>
      <c r="Y83" s="14"/>
    </row>
    <row r="84" spans="1:25" s="3" customFormat="1" ht="18" customHeight="1" x14ac:dyDescent="0.25">
      <c r="A84" s="10">
        <v>43252</v>
      </c>
      <c r="B84" s="17">
        <v>56459</v>
      </c>
      <c r="C84" s="17">
        <v>2478</v>
      </c>
      <c r="D84" s="17">
        <v>22549</v>
      </c>
      <c r="E84" s="17">
        <v>2888</v>
      </c>
      <c r="F84" s="17">
        <v>10436</v>
      </c>
      <c r="G84" s="17">
        <v>30504</v>
      </c>
      <c r="H84" s="17">
        <v>4837</v>
      </c>
      <c r="I84" s="17">
        <v>9193</v>
      </c>
      <c r="J84" s="17">
        <v>3258</v>
      </c>
      <c r="K84" s="17">
        <v>17686</v>
      </c>
      <c r="L84" s="17">
        <v>22895</v>
      </c>
      <c r="M84" s="17">
        <v>6444</v>
      </c>
      <c r="N84" s="18">
        <v>189627</v>
      </c>
      <c r="O84" s="19">
        <f>(N84-N83)/N83</f>
        <v>7.395011554705554E-3</v>
      </c>
      <c r="P84" s="14"/>
      <c r="Q84" s="14"/>
      <c r="R84" s="14"/>
      <c r="S84" s="14"/>
      <c r="T84" s="14"/>
      <c r="U84" s="14"/>
      <c r="V84" s="14"/>
      <c r="W84" s="14"/>
      <c r="X84" s="14"/>
      <c r="Y84" s="14"/>
    </row>
    <row r="85" spans="1:25" s="3" customFormat="1" ht="18" customHeight="1" x14ac:dyDescent="0.25">
      <c r="A85" s="10">
        <v>43282</v>
      </c>
      <c r="B85" s="17">
        <v>56116</v>
      </c>
      <c r="C85" s="17">
        <v>2467</v>
      </c>
      <c r="D85" s="17">
        <v>22457</v>
      </c>
      <c r="E85" s="17">
        <v>2887</v>
      </c>
      <c r="F85" s="17">
        <v>10386</v>
      </c>
      <c r="G85" s="17">
        <v>30342</v>
      </c>
      <c r="H85" s="17">
        <v>4860</v>
      </c>
      <c r="I85" s="17">
        <v>9158</v>
      </c>
      <c r="J85" s="17">
        <v>3240</v>
      </c>
      <c r="K85" s="17">
        <v>16762</v>
      </c>
      <c r="L85" s="17">
        <v>22849</v>
      </c>
      <c r="M85" s="17">
        <v>6401</v>
      </c>
      <c r="N85" s="18">
        <v>187925</v>
      </c>
      <c r="O85" s="15">
        <f>(N85-N84)/N84</f>
        <v>-8.9755150901506646E-3</v>
      </c>
      <c r="P85" s="14"/>
      <c r="Q85" s="14"/>
      <c r="R85" s="14"/>
      <c r="S85" s="14"/>
      <c r="T85" s="14"/>
      <c r="U85" s="14"/>
      <c r="V85" s="14"/>
      <c r="W85" s="14"/>
      <c r="X85" s="14"/>
      <c r="Y85" s="14"/>
    </row>
    <row r="86" spans="1:25" s="3" customFormat="1" ht="18" customHeight="1" x14ac:dyDescent="0.25">
      <c r="A86" s="10">
        <v>43313</v>
      </c>
      <c r="B86" s="17">
        <v>53621</v>
      </c>
      <c r="C86" s="17">
        <v>2310</v>
      </c>
      <c r="D86" s="17">
        <v>21728</v>
      </c>
      <c r="E86" s="17">
        <v>2789</v>
      </c>
      <c r="F86" s="17">
        <v>10128</v>
      </c>
      <c r="G86" s="17">
        <v>29897</v>
      </c>
      <c r="H86" s="17">
        <v>4794</v>
      </c>
      <c r="I86" s="17">
        <v>9157</v>
      </c>
      <c r="J86" s="17">
        <v>3231</v>
      </c>
      <c r="K86" s="17">
        <v>16320</v>
      </c>
      <c r="L86" s="17">
        <v>22393</v>
      </c>
      <c r="M86" s="17">
        <v>6322</v>
      </c>
      <c r="N86" s="18">
        <v>182690</v>
      </c>
      <c r="O86" s="15">
        <f t="shared" ref="O86:O127" si="3">(N86-N85)/N85</f>
        <v>-2.7856857789011574E-2</v>
      </c>
      <c r="P86" s="14"/>
      <c r="Q86" s="14"/>
      <c r="R86" s="14"/>
      <c r="S86" s="14"/>
      <c r="T86" s="14"/>
      <c r="U86" s="14"/>
      <c r="V86" s="14"/>
      <c r="W86" s="14"/>
      <c r="X86" s="14"/>
      <c r="Y86" s="14"/>
    </row>
    <row r="87" spans="1:25" s="3" customFormat="1" ht="18" customHeight="1" x14ac:dyDescent="0.25">
      <c r="A87" s="10">
        <v>43344</v>
      </c>
      <c r="B87" s="17">
        <v>47968</v>
      </c>
      <c r="C87" s="17">
        <v>2222</v>
      </c>
      <c r="D87" s="17">
        <v>21527</v>
      </c>
      <c r="E87" s="17">
        <v>2764</v>
      </c>
      <c r="F87" s="17">
        <v>10009</v>
      </c>
      <c r="G87" s="17">
        <v>29700</v>
      </c>
      <c r="H87" s="17">
        <v>4766</v>
      </c>
      <c r="I87" s="17">
        <v>9100</v>
      </c>
      <c r="J87" s="17">
        <v>3224</v>
      </c>
      <c r="K87" s="17">
        <v>16176</v>
      </c>
      <c r="L87" s="17">
        <v>22420</v>
      </c>
      <c r="M87" s="17">
        <v>6346</v>
      </c>
      <c r="N87" s="18">
        <v>176222</v>
      </c>
      <c r="O87" s="15">
        <f t="shared" si="3"/>
        <v>-3.5404236685094972E-2</v>
      </c>
      <c r="P87" s="14"/>
      <c r="Q87" s="14"/>
      <c r="R87" s="14"/>
      <c r="S87" s="14"/>
      <c r="T87" s="14"/>
      <c r="U87" s="14"/>
      <c r="V87" s="14"/>
      <c r="W87" s="14"/>
      <c r="X87" s="14"/>
      <c r="Y87" s="14"/>
    </row>
    <row r="88" spans="1:25" s="3" customFormat="1" ht="18" customHeight="1" x14ac:dyDescent="0.25">
      <c r="A88" s="10">
        <v>43374</v>
      </c>
      <c r="B88" s="17">
        <v>45196</v>
      </c>
      <c r="C88" s="17">
        <v>2156</v>
      </c>
      <c r="D88" s="17">
        <v>20679</v>
      </c>
      <c r="E88" s="17">
        <v>2680</v>
      </c>
      <c r="F88" s="17">
        <v>9801</v>
      </c>
      <c r="G88" s="17">
        <v>29557</v>
      </c>
      <c r="H88" s="17">
        <v>4778</v>
      </c>
      <c r="I88" s="17">
        <v>8807</v>
      </c>
      <c r="J88" s="17">
        <v>3173</v>
      </c>
      <c r="K88" s="17">
        <v>16070</v>
      </c>
      <c r="L88" s="17">
        <v>22509</v>
      </c>
      <c r="M88" s="17">
        <v>6341</v>
      </c>
      <c r="N88" s="18">
        <v>171747</v>
      </c>
      <c r="O88" s="15">
        <f t="shared" si="3"/>
        <v>-2.5394105162806005E-2</v>
      </c>
      <c r="P88" s="14"/>
      <c r="Q88" s="14"/>
      <c r="R88" s="14"/>
      <c r="S88" s="14"/>
      <c r="T88" s="14"/>
      <c r="U88" s="14"/>
      <c r="V88" s="14"/>
      <c r="W88" s="14"/>
      <c r="X88" s="14"/>
      <c r="Y88" s="14"/>
    </row>
    <row r="89" spans="1:25" s="3" customFormat="1" ht="18" customHeight="1" x14ac:dyDescent="0.25">
      <c r="A89" s="10">
        <v>43405</v>
      </c>
      <c r="B89" s="17">
        <v>37618</v>
      </c>
      <c r="C89" s="17">
        <v>2141</v>
      </c>
      <c r="D89" s="17">
        <v>20071</v>
      </c>
      <c r="E89" s="17">
        <v>2688</v>
      </c>
      <c r="F89" s="17">
        <v>9609</v>
      </c>
      <c r="G89" s="17">
        <v>29437</v>
      </c>
      <c r="H89" s="17">
        <v>4757</v>
      </c>
      <c r="I89" s="17">
        <v>8680</v>
      </c>
      <c r="J89" s="17">
        <v>3176</v>
      </c>
      <c r="K89" s="17">
        <v>16418</v>
      </c>
      <c r="L89" s="17">
        <v>22542</v>
      </c>
      <c r="M89" s="17">
        <v>6318</v>
      </c>
      <c r="N89" s="18">
        <v>163455</v>
      </c>
      <c r="O89" s="15">
        <f t="shared" si="3"/>
        <v>-4.8280319306887455E-2</v>
      </c>
      <c r="P89" s="14"/>
      <c r="Q89" s="14"/>
      <c r="R89" s="14"/>
      <c r="S89" s="14"/>
      <c r="T89" s="14"/>
      <c r="U89" s="14"/>
      <c r="V89" s="14"/>
      <c r="W89" s="14"/>
      <c r="X89" s="14"/>
      <c r="Y89" s="14"/>
    </row>
    <row r="90" spans="1:25" s="3" customFormat="1" ht="18" customHeight="1" x14ac:dyDescent="0.25">
      <c r="A90" s="10">
        <v>43435</v>
      </c>
      <c r="B90" s="20">
        <v>30242</v>
      </c>
      <c r="C90" s="20">
        <v>2247</v>
      </c>
      <c r="D90" s="20">
        <v>19977</v>
      </c>
      <c r="E90" s="20">
        <v>2659</v>
      </c>
      <c r="F90" s="20">
        <v>9561</v>
      </c>
      <c r="G90" s="20">
        <v>29678</v>
      </c>
      <c r="H90" s="20">
        <v>4737</v>
      </c>
      <c r="I90" s="20">
        <v>8688</v>
      </c>
      <c r="J90" s="20">
        <v>3182</v>
      </c>
      <c r="K90" s="20">
        <v>16457</v>
      </c>
      <c r="L90" s="20">
        <v>22328</v>
      </c>
      <c r="M90" s="20">
        <v>6317</v>
      </c>
      <c r="N90" s="18">
        <v>156073</v>
      </c>
      <c r="O90" s="15">
        <f t="shared" si="3"/>
        <v>-4.5162277079318469E-2</v>
      </c>
      <c r="P90" s="14"/>
      <c r="Q90" s="14"/>
      <c r="R90" s="14"/>
      <c r="S90" s="14"/>
      <c r="T90" s="14"/>
      <c r="U90" s="14"/>
      <c r="V90" s="14"/>
      <c r="W90" s="14"/>
      <c r="X90" s="14"/>
      <c r="Y90" s="14"/>
    </row>
    <row r="91" spans="1:25" s="3" customFormat="1" ht="18" customHeight="1" x14ac:dyDescent="0.25">
      <c r="A91" s="10">
        <v>43466</v>
      </c>
      <c r="B91" s="20">
        <v>28399</v>
      </c>
      <c r="C91" s="20">
        <v>2192</v>
      </c>
      <c r="D91" s="20">
        <v>20079</v>
      </c>
      <c r="E91" s="20">
        <v>2660</v>
      </c>
      <c r="F91" s="20">
        <v>9451</v>
      </c>
      <c r="G91" s="20">
        <v>29413</v>
      </c>
      <c r="H91" s="20">
        <v>4689</v>
      </c>
      <c r="I91" s="20">
        <v>8620</v>
      </c>
      <c r="J91" s="20">
        <v>3181</v>
      </c>
      <c r="K91" s="20">
        <v>16144</v>
      </c>
      <c r="L91" s="20">
        <v>22205</v>
      </c>
      <c r="M91" s="20">
        <v>6296</v>
      </c>
      <c r="N91" s="18">
        <v>153329</v>
      </c>
      <c r="O91" s="15">
        <f t="shared" si="3"/>
        <v>-1.758151634171189E-2</v>
      </c>
      <c r="P91" s="14"/>
      <c r="Q91" s="14"/>
      <c r="R91" s="14"/>
      <c r="S91" s="14"/>
      <c r="T91" s="14"/>
      <c r="U91" s="14"/>
      <c r="V91" s="14"/>
      <c r="W91" s="14"/>
      <c r="X91" s="14"/>
      <c r="Y91" s="14"/>
    </row>
    <row r="92" spans="1:25" s="3" customFormat="1" ht="18" customHeight="1" x14ac:dyDescent="0.25">
      <c r="A92" s="10">
        <v>43497</v>
      </c>
      <c r="B92" s="20">
        <v>25691</v>
      </c>
      <c r="C92" s="20">
        <v>2176</v>
      </c>
      <c r="D92" s="20">
        <v>19947</v>
      </c>
      <c r="E92" s="20">
        <v>2828</v>
      </c>
      <c r="F92" s="20">
        <v>9451</v>
      </c>
      <c r="G92" s="20">
        <v>29326</v>
      </c>
      <c r="H92" s="20">
        <v>4608</v>
      </c>
      <c r="I92" s="20">
        <v>8532</v>
      </c>
      <c r="J92" s="20">
        <v>3174</v>
      </c>
      <c r="K92" s="20">
        <v>15927</v>
      </c>
      <c r="L92" s="20">
        <v>22335</v>
      </c>
      <c r="M92" s="20">
        <v>6283</v>
      </c>
      <c r="N92" s="18">
        <v>150278</v>
      </c>
      <c r="O92" s="15">
        <f t="shared" si="3"/>
        <v>-1.9898388432716577E-2</v>
      </c>
      <c r="P92" s="14"/>
      <c r="Q92" s="14"/>
      <c r="R92" s="14"/>
      <c r="S92" s="14"/>
      <c r="T92" s="14"/>
      <c r="U92" s="14"/>
      <c r="V92" s="14"/>
      <c r="W92" s="14"/>
      <c r="X92" s="14"/>
      <c r="Y92" s="14"/>
    </row>
    <row r="93" spans="1:25" s="3" customFormat="1" ht="18" customHeight="1" x14ac:dyDescent="0.25">
      <c r="A93" s="10">
        <v>43525</v>
      </c>
      <c r="B93" s="20">
        <v>30792</v>
      </c>
      <c r="C93" s="20">
        <v>2205</v>
      </c>
      <c r="D93" s="20">
        <v>19985</v>
      </c>
      <c r="E93" s="20">
        <v>2806</v>
      </c>
      <c r="F93" s="20">
        <v>9547</v>
      </c>
      <c r="G93" s="20">
        <v>28980</v>
      </c>
      <c r="H93" s="20">
        <v>4517</v>
      </c>
      <c r="I93" s="20">
        <v>8461</v>
      </c>
      <c r="J93" s="20">
        <v>3161</v>
      </c>
      <c r="K93" s="20">
        <v>15961</v>
      </c>
      <c r="L93" s="20">
        <v>22690</v>
      </c>
      <c r="M93" s="20">
        <v>6258</v>
      </c>
      <c r="N93" s="18">
        <v>155363</v>
      </c>
      <c r="O93" s="15">
        <f t="shared" si="3"/>
        <v>3.383728822582148E-2</v>
      </c>
      <c r="P93" s="14"/>
      <c r="Q93" s="14"/>
      <c r="R93" s="14"/>
      <c r="S93" s="14"/>
      <c r="T93" s="14"/>
      <c r="U93" s="14"/>
      <c r="V93" s="14"/>
      <c r="W93" s="14"/>
      <c r="X93" s="14"/>
      <c r="Y93" s="14"/>
    </row>
    <row r="94" spans="1:25" s="3" customFormat="1" ht="18" customHeight="1" x14ac:dyDescent="0.25">
      <c r="A94" s="10">
        <v>43556</v>
      </c>
      <c r="B94" s="20">
        <v>35909</v>
      </c>
      <c r="C94" s="20">
        <v>2318</v>
      </c>
      <c r="D94" s="20">
        <v>20243</v>
      </c>
      <c r="E94" s="20">
        <v>2765</v>
      </c>
      <c r="F94" s="20">
        <v>9416</v>
      </c>
      <c r="G94" s="20">
        <v>28936</v>
      </c>
      <c r="H94" s="20">
        <v>4514</v>
      </c>
      <c r="I94" s="20">
        <v>8457</v>
      </c>
      <c r="J94" s="20">
        <v>3171</v>
      </c>
      <c r="K94" s="20">
        <v>15954</v>
      </c>
      <c r="L94" s="20">
        <v>22765</v>
      </c>
      <c r="M94" s="20">
        <v>6212</v>
      </c>
      <c r="N94" s="18">
        <v>160660</v>
      </c>
      <c r="O94" s="15">
        <f t="shared" si="3"/>
        <v>3.4094346787845238E-2</v>
      </c>
      <c r="P94" s="14"/>
      <c r="Q94" s="14"/>
      <c r="R94" s="14"/>
      <c r="S94" s="14"/>
      <c r="T94" s="14"/>
      <c r="U94" s="14"/>
      <c r="V94" s="14"/>
      <c r="W94" s="14"/>
      <c r="X94" s="14"/>
      <c r="Y94" s="14"/>
    </row>
    <row r="95" spans="1:25" s="3" customFormat="1" ht="18" customHeight="1" x14ac:dyDescent="0.25">
      <c r="A95" s="10">
        <v>43586</v>
      </c>
      <c r="B95" s="20">
        <v>41180</v>
      </c>
      <c r="C95" s="20">
        <v>2460</v>
      </c>
      <c r="D95" s="20">
        <v>20278</v>
      </c>
      <c r="E95" s="20">
        <v>2753</v>
      </c>
      <c r="F95" s="20">
        <v>9333</v>
      </c>
      <c r="G95" s="20">
        <v>29172</v>
      </c>
      <c r="H95" s="20">
        <v>4438</v>
      </c>
      <c r="I95" s="20">
        <v>8596</v>
      </c>
      <c r="J95" s="20">
        <v>3170</v>
      </c>
      <c r="K95" s="20">
        <v>16273</v>
      </c>
      <c r="L95" s="20">
        <v>22903</v>
      </c>
      <c r="M95" s="20">
        <v>6227</v>
      </c>
      <c r="N95" s="18">
        <v>166783</v>
      </c>
      <c r="O95" s="15">
        <f t="shared" si="3"/>
        <v>3.8111539897921078E-2</v>
      </c>
      <c r="P95" s="14"/>
      <c r="Q95" s="14"/>
      <c r="R95" s="14"/>
      <c r="S95" s="14"/>
      <c r="T95" s="14"/>
      <c r="U95" s="14"/>
      <c r="V95" s="14"/>
      <c r="W95" s="14"/>
      <c r="X95" s="14"/>
      <c r="Y95" s="14"/>
    </row>
    <row r="96" spans="1:25" s="3" customFormat="1" ht="18" customHeight="1" x14ac:dyDescent="0.25">
      <c r="A96" s="10">
        <v>43617</v>
      </c>
      <c r="B96" s="20">
        <v>40220</v>
      </c>
      <c r="C96" s="20">
        <v>2622</v>
      </c>
      <c r="D96" s="20">
        <v>20776</v>
      </c>
      <c r="E96" s="20">
        <v>2809</v>
      </c>
      <c r="F96" s="20">
        <v>9597</v>
      </c>
      <c r="G96" s="20">
        <v>29154</v>
      </c>
      <c r="H96" s="20">
        <v>4406</v>
      </c>
      <c r="I96" s="20">
        <v>8972</v>
      </c>
      <c r="J96" s="20">
        <v>3244</v>
      </c>
      <c r="K96" s="20">
        <v>16033</v>
      </c>
      <c r="L96" s="20">
        <v>22931</v>
      </c>
      <c r="M96" s="20">
        <v>6171</v>
      </c>
      <c r="N96" s="18">
        <v>166935</v>
      </c>
      <c r="O96" s="15">
        <f t="shared" si="3"/>
        <v>9.1136386802012192E-4</v>
      </c>
      <c r="P96" s="14"/>
      <c r="Q96" s="14"/>
      <c r="R96" s="14"/>
      <c r="S96" s="14"/>
      <c r="T96" s="14"/>
      <c r="U96" s="14"/>
      <c r="V96" s="14"/>
      <c r="W96" s="14"/>
      <c r="X96" s="14"/>
      <c r="Y96" s="14"/>
    </row>
    <row r="97" spans="1:25" s="3" customFormat="1" ht="18" customHeight="1" x14ac:dyDescent="0.25">
      <c r="A97" s="10">
        <v>43647</v>
      </c>
      <c r="B97" s="20">
        <v>40227</v>
      </c>
      <c r="C97" s="20">
        <v>2700</v>
      </c>
      <c r="D97" s="20">
        <v>20787</v>
      </c>
      <c r="E97" s="20">
        <v>2812</v>
      </c>
      <c r="F97" s="20">
        <v>9569</v>
      </c>
      <c r="G97" s="20">
        <v>29096</v>
      </c>
      <c r="H97" s="20">
        <v>4374</v>
      </c>
      <c r="I97" s="20">
        <v>8956</v>
      </c>
      <c r="J97" s="20">
        <v>3251</v>
      </c>
      <c r="K97" s="20">
        <v>15898</v>
      </c>
      <c r="L97" s="20">
        <v>22957</v>
      </c>
      <c r="M97" s="20">
        <v>6110</v>
      </c>
      <c r="N97" s="18">
        <f>SUM(B97:M97)</f>
        <v>166737</v>
      </c>
      <c r="O97" s="15">
        <f t="shared" si="3"/>
        <v>-1.1860903944649116E-3</v>
      </c>
      <c r="P97" s="14"/>
      <c r="Q97" s="14"/>
      <c r="R97" s="14"/>
      <c r="S97" s="14"/>
      <c r="T97" s="14"/>
      <c r="U97" s="14"/>
      <c r="V97" s="14"/>
      <c r="W97" s="14"/>
      <c r="X97" s="14"/>
      <c r="Y97" s="14"/>
    </row>
    <row r="98" spans="1:25" s="3" customFormat="1" ht="18" customHeight="1" x14ac:dyDescent="0.25">
      <c r="A98" s="10">
        <v>43678</v>
      </c>
      <c r="B98" s="20">
        <v>37426</v>
      </c>
      <c r="C98" s="20">
        <v>2684</v>
      </c>
      <c r="D98" s="20">
        <v>20732</v>
      </c>
      <c r="E98" s="20">
        <v>2829</v>
      </c>
      <c r="F98" s="20">
        <v>9509</v>
      </c>
      <c r="G98" s="20">
        <v>28945</v>
      </c>
      <c r="H98" s="20">
        <v>4341</v>
      </c>
      <c r="I98" s="20">
        <v>8801</v>
      </c>
      <c r="J98" s="20">
        <v>3239</v>
      </c>
      <c r="K98" s="20">
        <v>15969</v>
      </c>
      <c r="L98" s="20">
        <v>23009</v>
      </c>
      <c r="M98" s="20">
        <v>6091</v>
      </c>
      <c r="N98" s="18">
        <f>SUM(B98:M98)</f>
        <v>163575</v>
      </c>
      <c r="O98" s="15">
        <f t="shared" si="3"/>
        <v>-1.8963997193184475E-2</v>
      </c>
      <c r="P98" s="14"/>
      <c r="Q98" s="14"/>
      <c r="R98" s="14"/>
      <c r="S98" s="14"/>
      <c r="T98" s="14"/>
      <c r="U98" s="14"/>
      <c r="V98" s="14"/>
      <c r="W98" s="14"/>
      <c r="X98" s="14"/>
      <c r="Y98" s="14"/>
    </row>
    <row r="99" spans="1:25" s="3" customFormat="1" ht="18" customHeight="1" x14ac:dyDescent="0.25">
      <c r="A99" s="10">
        <v>43709</v>
      </c>
      <c r="B99" s="20">
        <v>38669</v>
      </c>
      <c r="C99" s="20">
        <v>2508</v>
      </c>
      <c r="D99" s="20">
        <v>20564</v>
      </c>
      <c r="E99" s="20">
        <v>2845</v>
      </c>
      <c r="F99" s="20">
        <v>9545</v>
      </c>
      <c r="G99" s="20">
        <v>28807</v>
      </c>
      <c r="H99" s="20">
        <v>4335</v>
      </c>
      <c r="I99" s="20">
        <v>9667</v>
      </c>
      <c r="J99" s="20">
        <v>3227</v>
      </c>
      <c r="K99" s="20">
        <v>15933</v>
      </c>
      <c r="L99" s="20">
        <v>23133</v>
      </c>
      <c r="M99" s="20">
        <v>6105</v>
      </c>
      <c r="N99" s="18">
        <f>SUM(B99:M99)</f>
        <v>165338</v>
      </c>
      <c r="O99" s="15">
        <f t="shared" si="3"/>
        <v>1.0777930612868714E-2</v>
      </c>
      <c r="P99" s="14"/>
      <c r="Q99" s="14"/>
      <c r="R99" s="14"/>
      <c r="S99" s="14"/>
      <c r="T99" s="14"/>
      <c r="U99" s="14"/>
      <c r="V99" s="14"/>
      <c r="W99" s="14"/>
      <c r="X99" s="14"/>
      <c r="Y99" s="14"/>
    </row>
    <row r="100" spans="1:25" s="3" customFormat="1" ht="18" customHeight="1" x14ac:dyDescent="0.25">
      <c r="A100" s="10">
        <v>43739</v>
      </c>
      <c r="B100" s="20">
        <v>37459</v>
      </c>
      <c r="C100" s="20">
        <v>2447</v>
      </c>
      <c r="D100" s="20">
        <v>20484</v>
      </c>
      <c r="E100" s="20">
        <v>2947</v>
      </c>
      <c r="F100" s="20">
        <v>9339</v>
      </c>
      <c r="G100" s="20">
        <v>28757</v>
      </c>
      <c r="H100" s="20">
        <v>4279</v>
      </c>
      <c r="I100" s="20">
        <v>8853</v>
      </c>
      <c r="J100" s="20">
        <v>3208</v>
      </c>
      <c r="K100" s="20">
        <v>16355</v>
      </c>
      <c r="L100" s="20">
        <v>23253</v>
      </c>
      <c r="M100" s="20">
        <v>6096</v>
      </c>
      <c r="N100" s="18">
        <f>SUM(B100:M100)</f>
        <v>163477</v>
      </c>
      <c r="O100" s="15">
        <f t="shared" si="3"/>
        <v>-1.1255730685020988E-2</v>
      </c>
      <c r="P100" s="14"/>
      <c r="Q100" s="14"/>
      <c r="R100" s="14"/>
      <c r="S100" s="14"/>
      <c r="T100" s="14"/>
      <c r="U100" s="14"/>
      <c r="V100" s="14"/>
      <c r="W100" s="14"/>
      <c r="X100" s="14"/>
      <c r="Y100" s="14"/>
    </row>
    <row r="101" spans="1:25" s="3" customFormat="1" ht="18" customHeight="1" x14ac:dyDescent="0.25">
      <c r="A101" s="10">
        <v>43770</v>
      </c>
      <c r="B101" s="20">
        <v>33936</v>
      </c>
      <c r="C101" s="20">
        <v>2334</v>
      </c>
      <c r="D101" s="20">
        <v>20127</v>
      </c>
      <c r="E101" s="20">
        <v>2890</v>
      </c>
      <c r="F101" s="20">
        <v>9306</v>
      </c>
      <c r="G101" s="20">
        <v>28152</v>
      </c>
      <c r="H101" s="20">
        <v>4284</v>
      </c>
      <c r="I101" s="20">
        <v>8706</v>
      </c>
      <c r="J101" s="20">
        <v>3193</v>
      </c>
      <c r="K101" s="20">
        <v>16169</v>
      </c>
      <c r="L101" s="20">
        <v>23301</v>
      </c>
      <c r="M101" s="20">
        <v>6119</v>
      </c>
      <c r="N101" s="18">
        <f t="shared" ref="N101:N102" si="4">SUM(B101:M101)</f>
        <v>158517</v>
      </c>
      <c r="O101" s="15">
        <f t="shared" si="3"/>
        <v>-3.0340659542320937E-2</v>
      </c>
      <c r="P101" s="14"/>
      <c r="Q101" s="14"/>
      <c r="R101" s="14"/>
      <c r="S101" s="14"/>
      <c r="T101" s="14"/>
      <c r="U101" s="14"/>
      <c r="V101" s="14"/>
      <c r="W101" s="14"/>
      <c r="X101" s="14"/>
      <c r="Y101" s="14"/>
    </row>
    <row r="102" spans="1:25" s="3" customFormat="1" ht="18" customHeight="1" x14ac:dyDescent="0.25">
      <c r="A102" s="10">
        <v>43800</v>
      </c>
      <c r="B102" s="20">
        <v>28329</v>
      </c>
      <c r="C102" s="20">
        <v>2306</v>
      </c>
      <c r="D102" s="20">
        <v>20135</v>
      </c>
      <c r="E102" s="20">
        <v>2817</v>
      </c>
      <c r="F102" s="20">
        <v>9211</v>
      </c>
      <c r="G102" s="20">
        <v>28250</v>
      </c>
      <c r="H102" s="20">
        <v>4303</v>
      </c>
      <c r="I102" s="20">
        <v>8561</v>
      </c>
      <c r="J102" s="20">
        <v>3186</v>
      </c>
      <c r="K102" s="20">
        <v>16189</v>
      </c>
      <c r="L102" s="20">
        <v>23102</v>
      </c>
      <c r="M102" s="20">
        <v>6099</v>
      </c>
      <c r="N102" s="18">
        <f t="shared" si="4"/>
        <v>152488</v>
      </c>
      <c r="O102" s="15">
        <f t="shared" si="3"/>
        <v>-3.8033775557195761E-2</v>
      </c>
      <c r="P102" s="14"/>
      <c r="Q102" s="14"/>
      <c r="R102" s="14"/>
      <c r="S102" s="14"/>
      <c r="T102" s="14"/>
      <c r="U102" s="14"/>
      <c r="V102" s="14"/>
      <c r="W102" s="14"/>
      <c r="X102" s="14"/>
      <c r="Y102" s="14"/>
    </row>
    <row r="103" spans="1:25" s="3" customFormat="1" ht="18" customHeight="1" x14ac:dyDescent="0.25">
      <c r="A103" s="10">
        <v>43831</v>
      </c>
      <c r="B103" s="20">
        <v>27099</v>
      </c>
      <c r="C103" s="20">
        <v>2551</v>
      </c>
      <c r="D103" s="20">
        <v>20155</v>
      </c>
      <c r="E103" s="20">
        <v>2816</v>
      </c>
      <c r="F103" s="20">
        <v>9242</v>
      </c>
      <c r="G103" s="20">
        <v>28028</v>
      </c>
      <c r="H103" s="20">
        <v>4299</v>
      </c>
      <c r="I103" s="20">
        <v>8512</v>
      </c>
      <c r="J103" s="20">
        <v>3184</v>
      </c>
      <c r="K103" s="20">
        <v>16196</v>
      </c>
      <c r="L103" s="20">
        <v>22903</v>
      </c>
      <c r="M103" s="20">
        <v>6076</v>
      </c>
      <c r="N103" s="18">
        <f t="shared" ref="N103:N128" si="5">SUM(B103:M103)</f>
        <v>151061</v>
      </c>
      <c r="O103" s="15">
        <f t="shared" si="3"/>
        <v>-9.3581134253187138E-3</v>
      </c>
      <c r="P103" s="14"/>
      <c r="Q103" s="14"/>
      <c r="R103" s="14"/>
      <c r="S103" s="14"/>
      <c r="T103" s="14"/>
      <c r="U103" s="14"/>
      <c r="V103" s="14"/>
      <c r="W103" s="14"/>
      <c r="X103" s="14"/>
      <c r="Y103" s="14"/>
    </row>
    <row r="104" spans="1:25" s="3" customFormat="1" ht="18" customHeight="1" x14ac:dyDescent="0.25">
      <c r="A104" s="10">
        <v>43862</v>
      </c>
      <c r="B104" s="20">
        <v>27581</v>
      </c>
      <c r="C104" s="20">
        <v>2551</v>
      </c>
      <c r="D104" s="20">
        <v>19766</v>
      </c>
      <c r="E104" s="20">
        <v>2810</v>
      </c>
      <c r="F104" s="20">
        <v>8979</v>
      </c>
      <c r="G104" s="20">
        <v>27914</v>
      </c>
      <c r="H104" s="20">
        <v>4238</v>
      </c>
      <c r="I104" s="20">
        <v>8464</v>
      </c>
      <c r="J104" s="20">
        <v>3182</v>
      </c>
      <c r="K104" s="20">
        <v>15715</v>
      </c>
      <c r="L104" s="20">
        <v>23026</v>
      </c>
      <c r="M104" s="20">
        <v>6050</v>
      </c>
      <c r="N104" s="18">
        <f t="shared" si="5"/>
        <v>150276</v>
      </c>
      <c r="O104" s="15">
        <f t="shared" si="3"/>
        <v>-5.1965762175544975E-3</v>
      </c>
      <c r="P104" s="14"/>
      <c r="Q104" s="14"/>
      <c r="R104" s="14"/>
      <c r="S104" s="14"/>
      <c r="T104" s="14"/>
      <c r="U104" s="14"/>
      <c r="V104" s="14"/>
      <c r="W104" s="14"/>
      <c r="X104" s="14"/>
      <c r="Y104" s="14"/>
    </row>
    <row r="105" spans="1:25" s="3" customFormat="1" ht="18" customHeight="1" x14ac:dyDescent="0.25">
      <c r="A105" s="10">
        <v>43891</v>
      </c>
      <c r="B105" s="20">
        <v>31131</v>
      </c>
      <c r="C105" s="20">
        <v>2587</v>
      </c>
      <c r="D105" s="20">
        <v>19630</v>
      </c>
      <c r="E105" s="20">
        <v>2637</v>
      </c>
      <c r="F105" s="20">
        <v>8355</v>
      </c>
      <c r="G105" s="20">
        <v>27769</v>
      </c>
      <c r="H105" s="20">
        <v>4141</v>
      </c>
      <c r="I105" s="20">
        <v>8439</v>
      </c>
      <c r="J105" s="20">
        <v>3174</v>
      </c>
      <c r="K105" s="20">
        <v>14442</v>
      </c>
      <c r="L105" s="20">
        <v>23265</v>
      </c>
      <c r="M105" s="20">
        <v>6008</v>
      </c>
      <c r="N105" s="18">
        <f t="shared" si="5"/>
        <v>151578</v>
      </c>
      <c r="O105" s="15">
        <f t="shared" si="3"/>
        <v>8.6640581330352153E-3</v>
      </c>
      <c r="P105" s="14"/>
      <c r="Q105" s="14"/>
      <c r="R105" s="14"/>
      <c r="S105" s="14"/>
      <c r="T105" s="14"/>
      <c r="U105" s="14"/>
      <c r="V105" s="14"/>
      <c r="W105" s="14"/>
      <c r="X105" s="14"/>
      <c r="Y105" s="14"/>
    </row>
    <row r="106" spans="1:25" s="3" customFormat="1" ht="18" customHeight="1" x14ac:dyDescent="0.25">
      <c r="A106" s="10">
        <v>43922</v>
      </c>
      <c r="B106" s="20">
        <v>37608</v>
      </c>
      <c r="C106" s="20">
        <v>2657</v>
      </c>
      <c r="D106" s="20">
        <v>20059</v>
      </c>
      <c r="E106" s="20">
        <v>2571</v>
      </c>
      <c r="F106" s="20">
        <v>8077</v>
      </c>
      <c r="G106" s="20">
        <v>28056</v>
      </c>
      <c r="H106" s="20">
        <v>4087</v>
      </c>
      <c r="I106" s="20">
        <v>8419</v>
      </c>
      <c r="J106" s="20">
        <v>3174</v>
      </c>
      <c r="K106" s="20">
        <v>14405</v>
      </c>
      <c r="L106" s="20">
        <v>23329</v>
      </c>
      <c r="M106" s="20">
        <v>5969</v>
      </c>
      <c r="N106" s="18">
        <f t="shared" si="5"/>
        <v>158411</v>
      </c>
      <c r="O106" s="15">
        <f t="shared" si="3"/>
        <v>4.5079101188826874E-2</v>
      </c>
      <c r="P106" s="14"/>
      <c r="Q106" s="14"/>
      <c r="R106" s="14"/>
      <c r="S106" s="14"/>
      <c r="T106" s="14"/>
      <c r="U106" s="14"/>
      <c r="V106" s="14"/>
      <c r="W106" s="14"/>
      <c r="X106" s="14"/>
      <c r="Y106" s="14"/>
    </row>
    <row r="107" spans="1:25" s="3" customFormat="1" ht="18" customHeight="1" x14ac:dyDescent="0.25">
      <c r="A107" s="10">
        <v>43952</v>
      </c>
      <c r="B107" s="20">
        <v>40007</v>
      </c>
      <c r="C107" s="20">
        <v>2682</v>
      </c>
      <c r="D107" s="20">
        <v>20501</v>
      </c>
      <c r="E107" s="20">
        <v>2612</v>
      </c>
      <c r="F107" s="20">
        <v>8366</v>
      </c>
      <c r="G107" s="20">
        <v>28130</v>
      </c>
      <c r="H107" s="20">
        <v>4036</v>
      </c>
      <c r="I107" s="20">
        <v>8295</v>
      </c>
      <c r="J107" s="20">
        <v>3172</v>
      </c>
      <c r="K107" s="20">
        <v>14411</v>
      </c>
      <c r="L107" s="20">
        <v>23340</v>
      </c>
      <c r="M107" s="20">
        <v>5952</v>
      </c>
      <c r="N107" s="18">
        <f t="shared" si="5"/>
        <v>161504</v>
      </c>
      <c r="O107" s="15">
        <f t="shared" si="3"/>
        <v>1.9525159237679203E-2</v>
      </c>
      <c r="P107" s="14"/>
      <c r="Q107" s="14"/>
      <c r="R107" s="14"/>
      <c r="S107" s="14"/>
      <c r="T107" s="14"/>
      <c r="U107" s="14"/>
      <c r="V107" s="14"/>
      <c r="W107" s="14"/>
      <c r="X107" s="14"/>
      <c r="Y107" s="14"/>
    </row>
    <row r="108" spans="1:25" s="3" customFormat="1" ht="18" customHeight="1" x14ac:dyDescent="0.25">
      <c r="A108" s="10">
        <v>43983</v>
      </c>
      <c r="B108" s="20">
        <v>39651</v>
      </c>
      <c r="C108" s="20">
        <v>2835</v>
      </c>
      <c r="D108" s="20">
        <v>20211</v>
      </c>
      <c r="E108" s="20">
        <v>2717</v>
      </c>
      <c r="F108" s="20">
        <v>8452</v>
      </c>
      <c r="G108" s="20">
        <v>28082</v>
      </c>
      <c r="H108" s="20">
        <v>3933</v>
      </c>
      <c r="I108" s="20">
        <v>8303</v>
      </c>
      <c r="J108" s="20">
        <v>3150</v>
      </c>
      <c r="K108" s="20">
        <v>14591</v>
      </c>
      <c r="L108" s="20">
        <v>23324</v>
      </c>
      <c r="M108" s="20">
        <v>5979</v>
      </c>
      <c r="N108" s="18">
        <f t="shared" si="5"/>
        <v>161228</v>
      </c>
      <c r="O108" s="15">
        <f t="shared" si="3"/>
        <v>-1.7089360015851E-3</v>
      </c>
      <c r="P108" s="14"/>
      <c r="Q108" s="14"/>
      <c r="R108" s="14"/>
      <c r="S108" s="14"/>
      <c r="T108" s="14"/>
      <c r="U108" s="14"/>
      <c r="V108" s="14"/>
      <c r="W108" s="14"/>
      <c r="X108" s="14"/>
      <c r="Y108" s="14"/>
    </row>
    <row r="109" spans="1:25" s="3" customFormat="1" ht="18" customHeight="1" x14ac:dyDescent="0.25">
      <c r="A109" s="10">
        <v>44013</v>
      </c>
      <c r="B109" s="20">
        <v>37613</v>
      </c>
      <c r="C109" s="20">
        <v>2830</v>
      </c>
      <c r="D109" s="20">
        <v>20272</v>
      </c>
      <c r="E109" s="20">
        <v>2725</v>
      </c>
      <c r="F109" s="20">
        <v>8479</v>
      </c>
      <c r="G109" s="20">
        <v>27862</v>
      </c>
      <c r="H109" s="20">
        <v>3835</v>
      </c>
      <c r="I109" s="20">
        <v>8292</v>
      </c>
      <c r="J109" s="20">
        <v>3140</v>
      </c>
      <c r="K109" s="20">
        <v>14842</v>
      </c>
      <c r="L109" s="20">
        <v>23331</v>
      </c>
      <c r="M109" s="20">
        <v>5872</v>
      </c>
      <c r="N109" s="18">
        <f t="shared" si="5"/>
        <v>159093</v>
      </c>
      <c r="O109" s="15">
        <f t="shared" si="3"/>
        <v>-1.3242116753913713E-2</v>
      </c>
      <c r="P109" s="14"/>
      <c r="Q109" s="14"/>
      <c r="R109" s="14"/>
      <c r="S109" s="14"/>
      <c r="T109" s="14"/>
      <c r="U109" s="14"/>
      <c r="V109" s="14"/>
      <c r="W109" s="14"/>
      <c r="X109" s="14"/>
      <c r="Y109" s="14"/>
    </row>
    <row r="110" spans="1:25" s="3" customFormat="1" ht="18" customHeight="1" x14ac:dyDescent="0.25">
      <c r="A110" s="10">
        <v>44044</v>
      </c>
      <c r="B110" s="20">
        <v>35253</v>
      </c>
      <c r="C110" s="20">
        <v>2797</v>
      </c>
      <c r="D110" s="20">
        <v>20295</v>
      </c>
      <c r="E110" s="20">
        <v>2723</v>
      </c>
      <c r="F110" s="20">
        <v>8551</v>
      </c>
      <c r="G110" s="20">
        <v>27742</v>
      </c>
      <c r="H110" s="20">
        <v>3801</v>
      </c>
      <c r="I110" s="20">
        <v>8272</v>
      </c>
      <c r="J110" s="20">
        <v>3131</v>
      </c>
      <c r="K110" s="20">
        <v>14886</v>
      </c>
      <c r="L110" s="20">
        <v>23331</v>
      </c>
      <c r="M110" s="20">
        <v>5835</v>
      </c>
      <c r="N110" s="18">
        <f t="shared" si="5"/>
        <v>156617</v>
      </c>
      <c r="O110" s="15">
        <f t="shared" si="3"/>
        <v>-1.5563224026198513E-2</v>
      </c>
      <c r="P110" s="14"/>
      <c r="Q110" s="14"/>
      <c r="R110" s="14"/>
      <c r="S110" s="14"/>
      <c r="T110" s="14"/>
      <c r="U110" s="14"/>
      <c r="V110" s="14"/>
      <c r="W110" s="14"/>
      <c r="X110" s="14"/>
      <c r="Y110" s="14"/>
    </row>
    <row r="111" spans="1:25" s="3" customFormat="1" ht="18" customHeight="1" x14ac:dyDescent="0.25">
      <c r="A111" s="10">
        <v>44075</v>
      </c>
      <c r="B111" s="20">
        <v>34194</v>
      </c>
      <c r="C111" s="20">
        <v>2770</v>
      </c>
      <c r="D111" s="20">
        <v>20288</v>
      </c>
      <c r="E111" s="20">
        <v>2717</v>
      </c>
      <c r="F111" s="20">
        <v>8601</v>
      </c>
      <c r="G111" s="20">
        <v>27744</v>
      </c>
      <c r="H111" s="20">
        <v>3770</v>
      </c>
      <c r="I111" s="20">
        <v>8223</v>
      </c>
      <c r="J111" s="20">
        <v>3126</v>
      </c>
      <c r="K111" s="20">
        <v>15046</v>
      </c>
      <c r="L111" s="20">
        <v>23328</v>
      </c>
      <c r="M111" s="20">
        <v>5780</v>
      </c>
      <c r="N111" s="18">
        <f t="shared" si="5"/>
        <v>155587</v>
      </c>
      <c r="O111" s="15">
        <f t="shared" si="3"/>
        <v>-6.5765529923316112E-3</v>
      </c>
      <c r="P111" s="14"/>
      <c r="Q111" s="14"/>
      <c r="R111" s="14"/>
      <c r="S111" s="14"/>
      <c r="T111" s="14"/>
      <c r="U111" s="14"/>
      <c r="V111" s="14"/>
      <c r="W111" s="14"/>
      <c r="X111" s="14"/>
      <c r="Y111" s="14"/>
    </row>
    <row r="112" spans="1:25" s="3" customFormat="1" ht="18" customHeight="1" x14ac:dyDescent="0.25">
      <c r="A112" s="10">
        <v>44105</v>
      </c>
      <c r="B112" s="20">
        <v>33412</v>
      </c>
      <c r="C112" s="20">
        <v>2751</v>
      </c>
      <c r="D112" s="20">
        <v>19869</v>
      </c>
      <c r="E112" s="20">
        <v>2697</v>
      </c>
      <c r="F112" s="20">
        <v>8641</v>
      </c>
      <c r="G112" s="20">
        <v>27832</v>
      </c>
      <c r="H112" s="20">
        <v>3738</v>
      </c>
      <c r="I112" s="20">
        <v>8162</v>
      </c>
      <c r="J112" s="20">
        <v>3119</v>
      </c>
      <c r="K112" s="20">
        <v>14900</v>
      </c>
      <c r="L112" s="20">
        <v>23348</v>
      </c>
      <c r="M112" s="20">
        <v>5774</v>
      </c>
      <c r="N112" s="18">
        <f t="shared" si="5"/>
        <v>154243</v>
      </c>
      <c r="O112" s="15">
        <f t="shared" si="3"/>
        <v>-8.6382538386883222E-3</v>
      </c>
      <c r="P112" s="14"/>
      <c r="Q112" s="14"/>
      <c r="R112" s="14"/>
      <c r="S112" s="14"/>
      <c r="T112" s="14"/>
      <c r="U112" s="14"/>
      <c r="V112" s="14"/>
      <c r="W112" s="14"/>
      <c r="X112" s="14"/>
      <c r="Y112" s="14"/>
    </row>
    <row r="113" spans="1:25" s="3" customFormat="1" ht="18" customHeight="1" x14ac:dyDescent="0.25">
      <c r="A113" s="10">
        <v>44136</v>
      </c>
      <c r="B113" s="20">
        <v>30001</v>
      </c>
      <c r="C113" s="20">
        <v>2591</v>
      </c>
      <c r="D113" s="20">
        <v>19701</v>
      </c>
      <c r="E113" s="20">
        <v>2645</v>
      </c>
      <c r="F113" s="20">
        <v>8761</v>
      </c>
      <c r="G113" s="20">
        <v>27698</v>
      </c>
      <c r="H113" s="20">
        <v>3688</v>
      </c>
      <c r="I113" s="20">
        <v>8084</v>
      </c>
      <c r="J113" s="20">
        <v>3117</v>
      </c>
      <c r="K113" s="20">
        <v>14907</v>
      </c>
      <c r="L113" s="20">
        <v>23330</v>
      </c>
      <c r="M113" s="20">
        <v>5773</v>
      </c>
      <c r="N113" s="18">
        <f t="shared" si="5"/>
        <v>150296</v>
      </c>
      <c r="O113" s="15">
        <f t="shared" si="3"/>
        <v>-2.5589491905629428E-2</v>
      </c>
      <c r="P113" s="14"/>
      <c r="Q113" s="14"/>
      <c r="R113" s="14"/>
      <c r="S113" s="14"/>
      <c r="T113" s="14"/>
      <c r="U113" s="14"/>
      <c r="V113" s="14"/>
      <c r="W113" s="14"/>
      <c r="X113" s="14"/>
      <c r="Y113" s="14"/>
    </row>
    <row r="114" spans="1:25" s="3" customFormat="1" ht="18" customHeight="1" x14ac:dyDescent="0.25">
      <c r="A114" s="10">
        <v>44166</v>
      </c>
      <c r="B114" s="11">
        <f>B113-1554</f>
        <v>28447</v>
      </c>
      <c r="C114" s="11">
        <f>C113-19</f>
        <v>2572</v>
      </c>
      <c r="D114" s="11">
        <f>D113-86</f>
        <v>19615</v>
      </c>
      <c r="E114" s="11">
        <f>E113-4</f>
        <v>2641</v>
      </c>
      <c r="F114" s="11">
        <f>F113-36</f>
        <v>8725</v>
      </c>
      <c r="G114" s="11">
        <f>G113+64</f>
        <v>27762</v>
      </c>
      <c r="H114" s="11">
        <f>H113-20</f>
        <v>3668</v>
      </c>
      <c r="I114" s="11">
        <f>I113-61</f>
        <v>8023</v>
      </c>
      <c r="J114" s="11">
        <f>J113-27</f>
        <v>3090</v>
      </c>
      <c r="K114" s="11">
        <f>K113-82</f>
        <v>14825</v>
      </c>
      <c r="L114" s="11">
        <f>L113-123</f>
        <v>23207</v>
      </c>
      <c r="M114" s="11">
        <f>M113+38</f>
        <v>5811</v>
      </c>
      <c r="N114" s="18">
        <f t="shared" si="5"/>
        <v>148386</v>
      </c>
      <c r="O114" s="15">
        <f t="shared" si="3"/>
        <v>-1.2708255708734763E-2</v>
      </c>
      <c r="P114" s="14"/>
      <c r="Q114" s="14"/>
      <c r="R114" s="14"/>
      <c r="S114" s="14"/>
      <c r="T114" s="14"/>
      <c r="U114" s="14"/>
      <c r="V114" s="14"/>
      <c r="W114" s="14"/>
      <c r="X114" s="14"/>
      <c r="Y114" s="14"/>
    </row>
    <row r="115" spans="1:25" s="3" customFormat="1" ht="18" customHeight="1" x14ac:dyDescent="0.25">
      <c r="A115" s="10">
        <v>44197</v>
      </c>
      <c r="B115" s="11">
        <f>B114-827</f>
        <v>27620</v>
      </c>
      <c r="C115" s="11">
        <f>C114-10</f>
        <v>2562</v>
      </c>
      <c r="D115" s="11">
        <f>D114+7</f>
        <v>19622</v>
      </c>
      <c r="E115" s="11">
        <f>E114+46</f>
        <v>2687</v>
      </c>
      <c r="F115" s="11">
        <f>F114+79</f>
        <v>8804</v>
      </c>
      <c r="G115" s="11">
        <f>G114-98</f>
        <v>27664</v>
      </c>
      <c r="H115" s="11">
        <f>H114+35</f>
        <v>3703</v>
      </c>
      <c r="I115" s="11">
        <f>I114-1</f>
        <v>8022</v>
      </c>
      <c r="J115" s="11">
        <f>J114-4</f>
        <v>3086</v>
      </c>
      <c r="K115" s="11">
        <f>K114-59</f>
        <v>14766</v>
      </c>
      <c r="L115" s="11">
        <f>L114-117</f>
        <v>23090</v>
      </c>
      <c r="M115" s="11">
        <f>M114-12</f>
        <v>5799</v>
      </c>
      <c r="N115" s="18">
        <f t="shared" si="5"/>
        <v>147425</v>
      </c>
      <c r="O115" s="15">
        <f t="shared" si="3"/>
        <v>-6.4763522165163833E-3</v>
      </c>
      <c r="P115" s="14"/>
      <c r="Q115" s="14"/>
      <c r="R115" s="14"/>
      <c r="S115" s="14"/>
      <c r="T115" s="14"/>
      <c r="U115" s="14"/>
      <c r="V115" s="14"/>
      <c r="W115" s="14"/>
      <c r="X115" s="14"/>
      <c r="Y115" s="14"/>
    </row>
    <row r="116" spans="1:25" s="3" customFormat="1" ht="18" customHeight="1" x14ac:dyDescent="0.25">
      <c r="A116" s="10">
        <v>44228</v>
      </c>
      <c r="B116" s="11">
        <f>B115-2</f>
        <v>27618</v>
      </c>
      <c r="C116" s="11">
        <f>C115-16</f>
        <v>2546</v>
      </c>
      <c r="D116" s="11">
        <f>D115-65</f>
        <v>19557</v>
      </c>
      <c r="E116" s="11">
        <f>E115+5</f>
        <v>2692</v>
      </c>
      <c r="F116" s="11">
        <f>F115+75</f>
        <v>8879</v>
      </c>
      <c r="G116" s="11">
        <f>G115-63</f>
        <v>27601</v>
      </c>
      <c r="H116" s="11">
        <f>H115-19</f>
        <v>3684</v>
      </c>
      <c r="I116" s="11">
        <f>I115-83</f>
        <v>7939</v>
      </c>
      <c r="J116" s="11">
        <f>J115-55</f>
        <v>3031</v>
      </c>
      <c r="K116" s="11">
        <f>K115+105</f>
        <v>14871</v>
      </c>
      <c r="L116" s="11">
        <f>L115+102</f>
        <v>23192</v>
      </c>
      <c r="M116" s="11">
        <f>M115-13</f>
        <v>5786</v>
      </c>
      <c r="N116" s="18">
        <f t="shared" si="5"/>
        <v>147396</v>
      </c>
      <c r="O116" s="15">
        <f t="shared" si="3"/>
        <v>-1.9671019162285908E-4</v>
      </c>
      <c r="P116" s="14"/>
      <c r="Q116" s="14"/>
      <c r="R116" s="14"/>
      <c r="S116" s="14"/>
      <c r="T116" s="14"/>
      <c r="U116" s="14"/>
      <c r="V116" s="14"/>
      <c r="W116" s="14"/>
      <c r="X116" s="14"/>
      <c r="Y116" s="14"/>
    </row>
    <row r="117" spans="1:25" s="3" customFormat="1" ht="18" customHeight="1" x14ac:dyDescent="0.25">
      <c r="A117" s="10">
        <v>44256</v>
      </c>
      <c r="B117" s="11">
        <f>B116+2137</f>
        <v>29755</v>
      </c>
      <c r="C117" s="11">
        <f>C116+24</f>
        <v>2570</v>
      </c>
      <c r="D117" s="11">
        <f>D116+134</f>
        <v>19691</v>
      </c>
      <c r="E117" s="11">
        <f>E116-6</f>
        <v>2686</v>
      </c>
      <c r="F117" s="11">
        <f>F116+1</f>
        <v>8880</v>
      </c>
      <c r="G117" s="11">
        <f>G116-69</f>
        <v>27532</v>
      </c>
      <c r="H117" s="11">
        <f>H116-81</f>
        <v>3603</v>
      </c>
      <c r="I117" s="11">
        <f>I116-9</f>
        <v>7930</v>
      </c>
      <c r="J117" s="11">
        <f>J116-41</f>
        <v>2990</v>
      </c>
      <c r="K117" s="11">
        <f>K116-45</f>
        <v>14826</v>
      </c>
      <c r="L117" s="11">
        <f>L116+232</f>
        <v>23424</v>
      </c>
      <c r="M117" s="11">
        <f>M116-3</f>
        <v>5783</v>
      </c>
      <c r="N117" s="18">
        <f t="shared" si="5"/>
        <v>149670</v>
      </c>
      <c r="O117" s="15">
        <f t="shared" si="3"/>
        <v>1.5427827078075388E-2</v>
      </c>
      <c r="P117" s="14"/>
      <c r="Q117" s="14"/>
      <c r="R117" s="14"/>
      <c r="S117" s="14"/>
      <c r="T117" s="14"/>
      <c r="U117" s="14"/>
      <c r="V117" s="14"/>
      <c r="W117" s="14"/>
      <c r="X117" s="14"/>
      <c r="Y117" s="14"/>
    </row>
    <row r="118" spans="1:25" s="3" customFormat="1" ht="18" customHeight="1" x14ac:dyDescent="0.25">
      <c r="A118" s="10">
        <v>44287</v>
      </c>
      <c r="B118" s="11">
        <f>B117+4664</f>
        <v>34419</v>
      </c>
      <c r="C118" s="11">
        <f>C117+90</f>
        <v>2660</v>
      </c>
      <c r="D118" s="11">
        <f>D117+171</f>
        <v>19862</v>
      </c>
      <c r="E118" s="11">
        <f>E117-15</f>
        <v>2671</v>
      </c>
      <c r="F118" s="11">
        <f>F117+100</f>
        <v>8980</v>
      </c>
      <c r="G118" s="11">
        <f>G117+45</f>
        <v>27577</v>
      </c>
      <c r="H118" s="11">
        <f>H117-38</f>
        <v>3565</v>
      </c>
      <c r="I118" s="11">
        <f>I117-13</f>
        <v>7917</v>
      </c>
      <c r="J118" s="11">
        <f>J117-4</f>
        <v>2986</v>
      </c>
      <c r="K118" s="11">
        <f>K117+88</f>
        <v>14914</v>
      </c>
      <c r="L118" s="11">
        <f>L117+82</f>
        <v>23506</v>
      </c>
      <c r="M118" s="11">
        <f>M117+16</f>
        <v>5799</v>
      </c>
      <c r="N118" s="18">
        <f t="shared" si="5"/>
        <v>154856</v>
      </c>
      <c r="O118" s="15">
        <f t="shared" si="3"/>
        <v>3.4649562370548538E-2</v>
      </c>
      <c r="P118" s="14"/>
      <c r="Q118" s="14"/>
      <c r="R118" s="14"/>
      <c r="S118" s="14"/>
      <c r="T118" s="14"/>
      <c r="U118" s="14"/>
      <c r="V118" s="14"/>
      <c r="W118" s="14"/>
      <c r="X118" s="14"/>
      <c r="Y118" s="14"/>
    </row>
    <row r="119" spans="1:25" s="3" customFormat="1" ht="18" customHeight="1" x14ac:dyDescent="0.25">
      <c r="A119" s="10">
        <v>44317</v>
      </c>
      <c r="B119" s="11">
        <v>38576</v>
      </c>
      <c r="C119" s="11">
        <v>2769</v>
      </c>
      <c r="D119" s="11">
        <v>20219</v>
      </c>
      <c r="E119" s="11">
        <v>2634</v>
      </c>
      <c r="F119" s="11">
        <v>9152</v>
      </c>
      <c r="G119" s="11">
        <v>27525</v>
      </c>
      <c r="H119" s="11">
        <v>3513</v>
      </c>
      <c r="I119" s="11">
        <v>7991</v>
      </c>
      <c r="J119" s="11">
        <v>2985</v>
      </c>
      <c r="K119" s="11">
        <v>15128</v>
      </c>
      <c r="L119" s="11">
        <v>23587</v>
      </c>
      <c r="M119" s="11">
        <v>5806</v>
      </c>
      <c r="N119" s="18">
        <f t="shared" si="5"/>
        <v>159885</v>
      </c>
      <c r="O119" s="15">
        <f t="shared" si="3"/>
        <v>3.2475331921268794E-2</v>
      </c>
      <c r="P119" s="14"/>
      <c r="Q119" s="14"/>
      <c r="R119" s="14"/>
      <c r="S119" s="14"/>
      <c r="T119" s="14"/>
      <c r="U119" s="14"/>
      <c r="V119" s="14"/>
      <c r="W119" s="14"/>
      <c r="X119" s="14"/>
      <c r="Y119" s="14"/>
    </row>
    <row r="120" spans="1:25" s="3" customFormat="1" ht="18" customHeight="1" x14ac:dyDescent="0.25">
      <c r="A120" s="10">
        <v>44348</v>
      </c>
      <c r="B120" s="11">
        <f>B119+1877</f>
        <v>40453</v>
      </c>
      <c r="C120" s="11">
        <f>C119+247</f>
        <v>3016</v>
      </c>
      <c r="D120" s="11">
        <f>D119+552</f>
        <v>20771</v>
      </c>
      <c r="E120" s="11">
        <f>E119-13</f>
        <v>2621</v>
      </c>
      <c r="F120" s="11">
        <f>F119+100</f>
        <v>9252</v>
      </c>
      <c r="G120" s="11">
        <f>G119+16</f>
        <v>27541</v>
      </c>
      <c r="H120" s="11">
        <f>H119-31</f>
        <v>3482</v>
      </c>
      <c r="I120" s="11">
        <f>I119+60</f>
        <v>8051</v>
      </c>
      <c r="J120" s="11">
        <f>J119+10</f>
        <v>2995</v>
      </c>
      <c r="K120" s="11">
        <f>K119-30</f>
        <v>15098</v>
      </c>
      <c r="L120" s="11">
        <f>L119+1</f>
        <v>23588</v>
      </c>
      <c r="M120" s="11">
        <f>M119-26</f>
        <v>5780</v>
      </c>
      <c r="N120" s="18">
        <f t="shared" si="5"/>
        <v>162648</v>
      </c>
      <c r="O120" s="15">
        <f t="shared" si="3"/>
        <v>1.7281170841542359E-2</v>
      </c>
      <c r="P120" s="14"/>
      <c r="Q120" s="14"/>
      <c r="R120" s="14"/>
      <c r="S120" s="14"/>
      <c r="T120" s="14"/>
      <c r="U120" s="14"/>
      <c r="V120" s="14"/>
      <c r="W120" s="14"/>
      <c r="X120" s="14"/>
      <c r="Y120" s="14"/>
    </row>
    <row r="121" spans="1:25" s="3" customFormat="1" ht="18" customHeight="1" x14ac:dyDescent="0.25">
      <c r="A121" s="10">
        <v>44378</v>
      </c>
      <c r="B121" s="11">
        <f>B120+529</f>
        <v>40982</v>
      </c>
      <c r="C121" s="11">
        <f>C120-52</f>
        <v>2964</v>
      </c>
      <c r="D121" s="11">
        <f>D120-520</f>
        <v>20251</v>
      </c>
      <c r="E121" s="11">
        <f>E120+49</f>
        <v>2670</v>
      </c>
      <c r="F121" s="11">
        <f>F120+8</f>
        <v>9260</v>
      </c>
      <c r="G121" s="11">
        <f>G120-169</f>
        <v>27372</v>
      </c>
      <c r="H121" s="11">
        <f>H120-23</f>
        <v>3459</v>
      </c>
      <c r="I121" s="11">
        <f>I120-114</f>
        <v>7937</v>
      </c>
      <c r="J121" s="11">
        <f>J120+5</f>
        <v>3000</v>
      </c>
      <c r="K121" s="11">
        <f>K120+417</f>
        <v>15515</v>
      </c>
      <c r="L121" s="11">
        <f>L120-10</f>
        <v>23578</v>
      </c>
      <c r="M121" s="11">
        <f>M120-61</f>
        <v>5719</v>
      </c>
      <c r="N121" s="18">
        <f t="shared" si="5"/>
        <v>162707</v>
      </c>
      <c r="O121" s="15">
        <f t="shared" si="3"/>
        <v>3.627465446854557E-4</v>
      </c>
      <c r="P121" s="14"/>
      <c r="Q121" s="14"/>
      <c r="R121" s="14"/>
      <c r="S121" s="14"/>
      <c r="T121" s="14"/>
      <c r="U121" s="14"/>
      <c r="V121" s="14"/>
      <c r="W121" s="14"/>
      <c r="X121" s="14"/>
      <c r="Y121" s="14"/>
    </row>
    <row r="122" spans="1:25" s="3" customFormat="1" ht="18" customHeight="1" x14ac:dyDescent="0.25">
      <c r="A122" s="10">
        <v>44409</v>
      </c>
      <c r="B122" s="11">
        <f>B121-1458</f>
        <v>39524</v>
      </c>
      <c r="C122" s="11">
        <f>C121-61</f>
        <v>2903</v>
      </c>
      <c r="D122" s="11">
        <f>D121-266</f>
        <v>19985</v>
      </c>
      <c r="E122" s="11">
        <f>E121+6</f>
        <v>2676</v>
      </c>
      <c r="F122" s="11">
        <f>F121+50</f>
        <v>9310</v>
      </c>
      <c r="G122" s="11">
        <f>G121-96</f>
        <v>27276</v>
      </c>
      <c r="H122" s="11">
        <f>H121-15</f>
        <v>3444</v>
      </c>
      <c r="I122" s="11">
        <f>I121-45</f>
        <v>7892</v>
      </c>
      <c r="J122" s="11">
        <f>J121+0</f>
        <v>3000</v>
      </c>
      <c r="K122" s="11">
        <f>K121-73</f>
        <v>15442</v>
      </c>
      <c r="L122" s="11">
        <f>L121-46</f>
        <v>23532</v>
      </c>
      <c r="M122" s="11">
        <f>M121-60</f>
        <v>5659</v>
      </c>
      <c r="N122" s="18">
        <f t="shared" si="5"/>
        <v>160643</v>
      </c>
      <c r="O122" s="15">
        <f t="shared" si="3"/>
        <v>-1.2685379239983528E-2</v>
      </c>
      <c r="P122" s="14"/>
      <c r="Q122" s="14"/>
      <c r="R122" s="14"/>
      <c r="S122" s="14"/>
      <c r="T122" s="14"/>
      <c r="U122" s="14"/>
      <c r="V122" s="14"/>
      <c r="W122" s="14"/>
      <c r="X122" s="14"/>
      <c r="Y122" s="14"/>
    </row>
    <row r="123" spans="1:25" s="3" customFormat="1" ht="18" customHeight="1" x14ac:dyDescent="0.25">
      <c r="A123" s="10">
        <v>44440</v>
      </c>
      <c r="B123" s="11">
        <f>B122-2567</f>
        <v>36957</v>
      </c>
      <c r="C123" s="11">
        <f>C122-74</f>
        <v>2829</v>
      </c>
      <c r="D123" s="11">
        <f>D122-5</f>
        <v>19980</v>
      </c>
      <c r="E123" s="11">
        <f>E122+53</f>
        <v>2729</v>
      </c>
      <c r="F123" s="11">
        <f>F122+106</f>
        <v>9416</v>
      </c>
      <c r="G123" s="11">
        <f>G122-11</f>
        <v>27265</v>
      </c>
      <c r="H123" s="11">
        <f>H122-38</f>
        <v>3406</v>
      </c>
      <c r="I123" s="11">
        <f>I122-66</f>
        <v>7826</v>
      </c>
      <c r="J123" s="11">
        <f>J122-11</f>
        <v>2989</v>
      </c>
      <c r="K123" s="11">
        <f>K122-216</f>
        <v>15226</v>
      </c>
      <c r="L123" s="11">
        <f>L122+145</f>
        <v>23677</v>
      </c>
      <c r="M123" s="11">
        <f>M122+10</f>
        <v>5669</v>
      </c>
      <c r="N123" s="18">
        <f t="shared" si="5"/>
        <v>157969</v>
      </c>
      <c r="O123" s="15">
        <f t="shared" si="3"/>
        <v>-1.6645605473005361E-2</v>
      </c>
      <c r="P123" s="14"/>
      <c r="Q123" s="14"/>
      <c r="R123" s="14"/>
      <c r="S123" s="14"/>
      <c r="T123" s="14"/>
      <c r="U123" s="14"/>
      <c r="V123" s="14"/>
      <c r="W123" s="14"/>
      <c r="X123" s="14"/>
      <c r="Y123" s="14"/>
    </row>
    <row r="124" spans="1:25" s="3" customFormat="1" ht="18" customHeight="1" x14ac:dyDescent="0.25">
      <c r="A124" s="10">
        <v>44470</v>
      </c>
      <c r="B124" s="11">
        <f>B123-3133</f>
        <v>33824</v>
      </c>
      <c r="C124" s="11">
        <f>C123-140</f>
        <v>2689</v>
      </c>
      <c r="D124" s="11">
        <f>D123-170</f>
        <v>19810</v>
      </c>
      <c r="E124" s="11">
        <f>E123-18</f>
        <v>2711</v>
      </c>
      <c r="F124" s="11">
        <f>F123-1</f>
        <v>9415</v>
      </c>
      <c r="G124" s="11">
        <f>G123-13</f>
        <v>27252</v>
      </c>
      <c r="H124" s="11">
        <f>H123-26</f>
        <v>3380</v>
      </c>
      <c r="I124" s="11">
        <f>I123-322</f>
        <v>7504</v>
      </c>
      <c r="J124" s="11">
        <f>J123-7</f>
        <v>2982</v>
      </c>
      <c r="K124" s="11">
        <f>K123-311</f>
        <v>14915</v>
      </c>
      <c r="L124" s="11">
        <f>L123+67</f>
        <v>23744</v>
      </c>
      <c r="M124" s="11">
        <f>M123-3</f>
        <v>5666</v>
      </c>
      <c r="N124" s="18">
        <f t="shared" si="5"/>
        <v>153892</v>
      </c>
      <c r="O124" s="15">
        <f t="shared" si="3"/>
        <v>-2.580886123226709E-2</v>
      </c>
      <c r="P124" s="14"/>
      <c r="Q124" s="14"/>
      <c r="R124" s="14"/>
      <c r="S124" s="14"/>
      <c r="T124" s="14"/>
      <c r="U124" s="14"/>
      <c r="V124" s="14"/>
      <c r="W124" s="14"/>
      <c r="X124" s="14"/>
      <c r="Y124" s="14"/>
    </row>
    <row r="125" spans="1:25" s="3" customFormat="1" ht="18" customHeight="1" x14ac:dyDescent="0.25">
      <c r="A125" s="10">
        <v>44501</v>
      </c>
      <c r="B125" s="11">
        <f>B124-1944</f>
        <v>31880</v>
      </c>
      <c r="C125" s="11">
        <f>C124-194</f>
        <v>2495</v>
      </c>
      <c r="D125" s="11">
        <f>D124-119</f>
        <v>19691</v>
      </c>
      <c r="E125" s="11">
        <f>E124+49</f>
        <v>2760</v>
      </c>
      <c r="F125" s="11">
        <f>F124+179</f>
        <v>9594</v>
      </c>
      <c r="G125" s="11">
        <f>G124+110</f>
        <v>27362</v>
      </c>
      <c r="H125" s="11">
        <f>H124+21</f>
        <v>3401</v>
      </c>
      <c r="I125" s="11">
        <f>I124-122</f>
        <v>7382</v>
      </c>
      <c r="J125" s="11">
        <f>J124+5</f>
        <v>2987</v>
      </c>
      <c r="K125" s="11">
        <f>K124+46</f>
        <v>14961</v>
      </c>
      <c r="L125" s="11">
        <f>L124+161</f>
        <v>23905</v>
      </c>
      <c r="M125" s="11">
        <f>M124+7</f>
        <v>5673</v>
      </c>
      <c r="N125" s="18">
        <f t="shared" si="5"/>
        <v>152091</v>
      </c>
      <c r="O125" s="15">
        <f t="shared" si="3"/>
        <v>-1.1703012502274322E-2</v>
      </c>
      <c r="P125" s="14"/>
      <c r="Q125" s="14"/>
      <c r="R125" s="14"/>
      <c r="S125" s="14"/>
      <c r="T125" s="14"/>
      <c r="U125" s="14"/>
      <c r="V125" s="14"/>
      <c r="W125" s="14"/>
      <c r="X125" s="14"/>
      <c r="Y125" s="14"/>
    </row>
    <row r="126" spans="1:25" s="3" customFormat="1" ht="18" customHeight="1" x14ac:dyDescent="0.25">
      <c r="A126" s="10">
        <v>44531</v>
      </c>
      <c r="B126" s="11">
        <f>B125-437</f>
        <v>31443</v>
      </c>
      <c r="C126" s="11">
        <f>C125+14</f>
        <v>2509</v>
      </c>
      <c r="D126" s="11">
        <f>D125+91</f>
        <v>19782</v>
      </c>
      <c r="E126" s="11">
        <f>E125-56</f>
        <v>2704</v>
      </c>
      <c r="F126" s="11">
        <f>F125-93</f>
        <v>9501</v>
      </c>
      <c r="G126" s="11">
        <f>G125+90</f>
        <v>27452</v>
      </c>
      <c r="H126" s="11">
        <f>H125-1</f>
        <v>3400</v>
      </c>
      <c r="I126" s="11">
        <f>I125-38</f>
        <v>7344</v>
      </c>
      <c r="J126" s="11">
        <f>J125-6</f>
        <v>2981</v>
      </c>
      <c r="K126" s="11">
        <f>K125-182</f>
        <v>14779</v>
      </c>
      <c r="L126" s="11">
        <f>L125-181</f>
        <v>23724</v>
      </c>
      <c r="M126" s="11">
        <f>M125+4</f>
        <v>5677</v>
      </c>
      <c r="N126" s="18">
        <f t="shared" si="5"/>
        <v>151296</v>
      </c>
      <c r="O126" s="15">
        <f t="shared" si="3"/>
        <v>-5.2271337554490403E-3</v>
      </c>
      <c r="P126" s="14"/>
      <c r="Q126" s="14"/>
      <c r="R126" s="14"/>
      <c r="S126" s="14"/>
      <c r="T126" s="14"/>
      <c r="U126" s="14"/>
      <c r="V126" s="14"/>
      <c r="W126" s="14"/>
      <c r="X126" s="14"/>
      <c r="Y126" s="14"/>
    </row>
    <row r="127" spans="1:25" s="3" customFormat="1" ht="18" customHeight="1" x14ac:dyDescent="0.25">
      <c r="A127" s="10">
        <v>44562</v>
      </c>
      <c r="B127" s="11">
        <f>B126-629</f>
        <v>30814</v>
      </c>
      <c r="C127" s="11">
        <f>C126-5</f>
        <v>2504</v>
      </c>
      <c r="D127" s="11">
        <f>D126-61</f>
        <v>19721</v>
      </c>
      <c r="E127" s="11">
        <f>E126-7</f>
        <v>2697</v>
      </c>
      <c r="F127" s="11">
        <f>F126+158</f>
        <v>9659</v>
      </c>
      <c r="G127" s="11">
        <f>G126-88</f>
        <v>27364</v>
      </c>
      <c r="H127" s="11">
        <f>H126+52</f>
        <v>3452</v>
      </c>
      <c r="I127" s="11">
        <f>I126+40</f>
        <v>7384</v>
      </c>
      <c r="J127" s="11">
        <f>J126-6</f>
        <v>2975</v>
      </c>
      <c r="K127" s="11">
        <f>K126+330</f>
        <v>15109</v>
      </c>
      <c r="L127" s="11">
        <f>L126-59</f>
        <v>23665</v>
      </c>
      <c r="M127" s="11">
        <f>M126+38</f>
        <v>5715</v>
      </c>
      <c r="N127" s="18">
        <f t="shared" si="5"/>
        <v>151059</v>
      </c>
      <c r="O127" s="15">
        <f t="shared" si="3"/>
        <v>-1.5664657360406091E-3</v>
      </c>
      <c r="P127" s="14"/>
      <c r="Q127" s="14"/>
      <c r="R127" s="14"/>
      <c r="S127" s="14"/>
      <c r="T127" s="14"/>
      <c r="U127" s="14"/>
      <c r="V127" s="14"/>
      <c r="W127" s="14"/>
      <c r="X127" s="14"/>
      <c r="Y127" s="14"/>
    </row>
    <row r="128" spans="1:25" s="3" customFormat="1" ht="18" customHeight="1" x14ac:dyDescent="0.25">
      <c r="A128" s="10">
        <v>44593</v>
      </c>
      <c r="B128" s="11">
        <f>B127-448</f>
        <v>30366</v>
      </c>
      <c r="C128" s="11">
        <f>C127-16</f>
        <v>2488</v>
      </c>
      <c r="D128" s="11">
        <f>D127+161</f>
        <v>19882</v>
      </c>
      <c r="E128" s="11">
        <f>E127-27</f>
        <v>2670</v>
      </c>
      <c r="F128" s="11">
        <f>F127+21</f>
        <v>9680</v>
      </c>
      <c r="G128" s="11">
        <f>G127-154</f>
        <v>27210</v>
      </c>
      <c r="H128" s="11">
        <f>H127-23</f>
        <v>3429</v>
      </c>
      <c r="I128" s="11">
        <f>I127-41</f>
        <v>7343</v>
      </c>
      <c r="J128" s="11">
        <f>J127-7</f>
        <v>2968</v>
      </c>
      <c r="K128" s="11">
        <f>K127-136</f>
        <v>14973</v>
      </c>
      <c r="L128" s="11">
        <f>L127+152</f>
        <v>23817</v>
      </c>
      <c r="M128" s="11">
        <f>M127+29</f>
        <v>5744</v>
      </c>
      <c r="N128" s="18">
        <f t="shared" si="5"/>
        <v>150570</v>
      </c>
      <c r="O128" s="15">
        <f t="shared" ref="O128:O133" si="6">(N128-N127)/N127</f>
        <v>-3.2371457509979542E-3</v>
      </c>
      <c r="P128" s="14"/>
      <c r="Q128" s="14"/>
      <c r="R128" s="14"/>
      <c r="S128" s="14"/>
      <c r="T128" s="14"/>
      <c r="U128" s="14"/>
      <c r="V128" s="14"/>
      <c r="W128" s="14"/>
      <c r="X128" s="14"/>
      <c r="Y128" s="14"/>
    </row>
    <row r="129" spans="1:25" s="3" customFormat="1" ht="18" customHeight="1" x14ac:dyDescent="0.25">
      <c r="A129" s="10">
        <v>44621</v>
      </c>
      <c r="B129" s="11">
        <f>B128+1473</f>
        <v>31839</v>
      </c>
      <c r="C129" s="11">
        <f>C128+34</f>
        <v>2522</v>
      </c>
      <c r="D129" s="11">
        <f>D128-321</f>
        <v>19561</v>
      </c>
      <c r="E129" s="11">
        <f>E128-43</f>
        <v>2627</v>
      </c>
      <c r="F129" s="11">
        <f>F128+17</f>
        <v>9697</v>
      </c>
      <c r="G129" s="11">
        <f>G128-79</f>
        <v>27131</v>
      </c>
      <c r="H129" s="11">
        <f>H128-20</f>
        <v>3409</v>
      </c>
      <c r="I129" s="11">
        <f>I128+48</f>
        <v>7391</v>
      </c>
      <c r="J129" s="11">
        <f>J128-11</f>
        <v>2957</v>
      </c>
      <c r="K129" s="11">
        <f>K128+82</f>
        <v>15055</v>
      </c>
      <c r="L129" s="11">
        <f>L128+385</f>
        <v>24202</v>
      </c>
      <c r="M129" s="11">
        <f>M128+7</f>
        <v>5751</v>
      </c>
      <c r="N129" s="18">
        <f t="shared" ref="N129" si="7">SUM(B129:M129)</f>
        <v>152142</v>
      </c>
      <c r="O129" s="15">
        <f t="shared" si="6"/>
        <v>1.044032675831839E-2</v>
      </c>
      <c r="P129" s="14"/>
      <c r="Q129" s="14"/>
      <c r="R129" s="14"/>
      <c r="S129" s="14"/>
      <c r="T129" s="14"/>
      <c r="U129" s="14"/>
      <c r="V129" s="14"/>
      <c r="W129" s="14"/>
      <c r="X129" s="14"/>
      <c r="Y129" s="14"/>
    </row>
    <row r="130" spans="1:25" s="3" customFormat="1" ht="18" customHeight="1" x14ac:dyDescent="0.25">
      <c r="A130" s="10">
        <v>44652</v>
      </c>
      <c r="B130" s="11">
        <f>B129+3921</f>
        <v>35760</v>
      </c>
      <c r="C130" s="11">
        <f>C129+78</f>
        <v>2600</v>
      </c>
      <c r="D130" s="11">
        <f>D129+246</f>
        <v>19807</v>
      </c>
      <c r="E130" s="11">
        <f>E129+12</f>
        <v>2639</v>
      </c>
      <c r="F130" s="11">
        <f>F129+97</f>
        <v>9794</v>
      </c>
      <c r="G130" s="11">
        <f>G129+303</f>
        <v>27434</v>
      </c>
      <c r="H130" s="11">
        <f>H129-21</f>
        <v>3388</v>
      </c>
      <c r="I130" s="11">
        <f>I129+19</f>
        <v>7410</v>
      </c>
      <c r="J130" s="11">
        <f>J129-8</f>
        <v>2949</v>
      </c>
      <c r="K130" s="11">
        <f>K129-72</f>
        <v>14983</v>
      </c>
      <c r="L130" s="11">
        <f>L129+75</f>
        <v>24277</v>
      </c>
      <c r="M130" s="11">
        <f>M129+32</f>
        <v>5783</v>
      </c>
      <c r="N130" s="18">
        <f>SUM(B130:M130)</f>
        <v>156824</v>
      </c>
      <c r="O130" s="15">
        <f t="shared" si="6"/>
        <v>3.077388229417255E-2</v>
      </c>
      <c r="P130" s="14"/>
      <c r="Q130" s="14"/>
      <c r="R130" s="14"/>
      <c r="S130" s="14"/>
      <c r="T130" s="14"/>
      <c r="U130" s="14"/>
      <c r="V130" s="14"/>
      <c r="W130" s="14"/>
      <c r="X130" s="14"/>
      <c r="Y130" s="14"/>
    </row>
    <row r="131" spans="1:25" s="3" customFormat="1" ht="18" customHeight="1" x14ac:dyDescent="0.25">
      <c r="A131" s="10">
        <v>44682</v>
      </c>
      <c r="B131" s="11">
        <f>B130+3921</f>
        <v>39681</v>
      </c>
      <c r="C131" s="11">
        <f>C130-88</f>
        <v>2512</v>
      </c>
      <c r="D131" s="11">
        <f>D130+721</f>
        <v>20528</v>
      </c>
      <c r="E131" s="11">
        <f>E130+27</f>
        <v>2666</v>
      </c>
      <c r="F131" s="11">
        <f>F130+186</f>
        <v>9980</v>
      </c>
      <c r="G131" s="11">
        <f>G130+174</f>
        <v>27608</v>
      </c>
      <c r="H131" s="11">
        <f>H130+69</f>
        <v>3457</v>
      </c>
      <c r="I131" s="11">
        <f>I130+36</f>
        <v>7446</v>
      </c>
      <c r="J131" s="11">
        <f>J130-1</f>
        <v>2948</v>
      </c>
      <c r="K131" s="11">
        <f>K130-98</f>
        <v>14885</v>
      </c>
      <c r="L131" s="11">
        <f>L130+253</f>
        <v>24530</v>
      </c>
      <c r="M131" s="11">
        <f>M130-54</f>
        <v>5729</v>
      </c>
      <c r="N131" s="18">
        <f>SUM(B131:M131)</f>
        <v>161970</v>
      </c>
      <c r="O131" s="15">
        <f t="shared" si="6"/>
        <v>3.2813855022190482E-2</v>
      </c>
      <c r="P131" s="14"/>
      <c r="Q131" s="14"/>
      <c r="R131" s="14"/>
      <c r="S131" s="14"/>
      <c r="T131" s="14"/>
      <c r="U131" s="14"/>
      <c r="V131" s="14"/>
      <c r="W131" s="14"/>
      <c r="X131" s="14"/>
      <c r="Y131" s="14"/>
    </row>
    <row r="132" spans="1:25" s="3" customFormat="1" ht="18" customHeight="1" x14ac:dyDescent="0.25">
      <c r="A132" s="10">
        <v>44713</v>
      </c>
      <c r="B132" s="11">
        <f>B131-91</f>
        <v>39590</v>
      </c>
      <c r="C132" s="11">
        <f>C131+97</f>
        <v>2609</v>
      </c>
      <c r="D132" s="11">
        <f>D131+66</f>
        <v>20594</v>
      </c>
      <c r="E132" s="11">
        <f>E131-15</f>
        <v>2651</v>
      </c>
      <c r="F132" s="11">
        <f>F131-73</f>
        <v>9907</v>
      </c>
      <c r="G132" s="11">
        <f>G131-301</f>
        <v>27307</v>
      </c>
      <c r="H132" s="11">
        <f>H131+20</f>
        <v>3477</v>
      </c>
      <c r="I132" s="11">
        <f>I131+21</f>
        <v>7467</v>
      </c>
      <c r="J132" s="11">
        <f>J131+9</f>
        <v>2957</v>
      </c>
      <c r="K132" s="11">
        <f>K131-129</f>
        <v>14756</v>
      </c>
      <c r="L132" s="11">
        <f>L131+62</f>
        <v>24592</v>
      </c>
      <c r="M132" s="11">
        <f>M131-5</f>
        <v>5724</v>
      </c>
      <c r="N132" s="18">
        <f>SUM(B132:M132)</f>
        <v>161631</v>
      </c>
      <c r="O132" s="15">
        <f t="shared" si="6"/>
        <v>-2.0929801815150954E-3</v>
      </c>
      <c r="P132" s="14"/>
      <c r="Q132" s="14"/>
      <c r="R132" s="14"/>
      <c r="S132" s="14"/>
      <c r="T132" s="14"/>
      <c r="U132" s="14"/>
      <c r="V132" s="14"/>
      <c r="W132" s="14"/>
      <c r="X132" s="14"/>
      <c r="Y132" s="14"/>
    </row>
    <row r="133" spans="1:25" s="3" customFormat="1" ht="18" customHeight="1" x14ac:dyDescent="0.25">
      <c r="A133" s="10">
        <v>44743</v>
      </c>
      <c r="B133" s="11">
        <f>B132-803</f>
        <v>38787</v>
      </c>
      <c r="C133" s="11">
        <f>C132-2</f>
        <v>2607</v>
      </c>
      <c r="D133" s="11">
        <f>D132-107</f>
        <v>20487</v>
      </c>
      <c r="E133" s="11">
        <f>E132-6</f>
        <v>2645</v>
      </c>
      <c r="F133" s="11">
        <f>F132+273</f>
        <v>10180</v>
      </c>
      <c r="G133" s="11">
        <f>G132-92</f>
        <v>27215</v>
      </c>
      <c r="H133" s="11">
        <f>H132+55</f>
        <v>3532</v>
      </c>
      <c r="I133" s="11">
        <f>I132+21</f>
        <v>7488</v>
      </c>
      <c r="J133" s="11">
        <f>J132-23</f>
        <v>2934</v>
      </c>
      <c r="K133" s="11">
        <f>K132-289</f>
        <v>14467</v>
      </c>
      <c r="L133" s="11">
        <f>L132+24</f>
        <v>24616</v>
      </c>
      <c r="M133" s="11">
        <f>M132+19</f>
        <v>5743</v>
      </c>
      <c r="N133" s="18">
        <f>SUM(B133:M133)</f>
        <v>160701</v>
      </c>
      <c r="O133" s="15">
        <f t="shared" si="6"/>
        <v>-5.7538467249475655E-3</v>
      </c>
      <c r="P133" s="14"/>
      <c r="Q133" s="14"/>
      <c r="R133" s="14"/>
      <c r="S133" s="14"/>
      <c r="T133" s="14"/>
      <c r="U133" s="14"/>
      <c r="V133" s="14"/>
      <c r="W133" s="14"/>
      <c r="X133" s="14"/>
      <c r="Y133" s="14"/>
    </row>
    <row r="134" spans="1:25" s="34" customFormat="1" ht="18" customHeight="1" x14ac:dyDescent="0.25">
      <c r="A134" s="30">
        <v>44774</v>
      </c>
      <c r="B134" s="31">
        <f>(B133-1385)</f>
        <v>37402</v>
      </c>
      <c r="C134" s="31">
        <f>C133-40</f>
        <v>2567</v>
      </c>
      <c r="D134" s="31">
        <f>D133-40</f>
        <v>20447</v>
      </c>
      <c r="E134" s="31">
        <f>E133+3</f>
        <v>2648</v>
      </c>
      <c r="F134" s="31">
        <f>F133-3</f>
        <v>10177</v>
      </c>
      <c r="G134" s="31">
        <f>G133-5</f>
        <v>27210</v>
      </c>
      <c r="H134" s="31">
        <f>H133+7</f>
        <v>3539</v>
      </c>
      <c r="I134" s="31">
        <f>I133-11</f>
        <v>7477</v>
      </c>
      <c r="J134" s="31">
        <f>J133-8</f>
        <v>2926</v>
      </c>
      <c r="K134" s="31">
        <f>K133-24</f>
        <v>14443</v>
      </c>
      <c r="L134" s="31">
        <f>L133+95</f>
        <v>24711</v>
      </c>
      <c r="M134" s="31">
        <f>M133-23</f>
        <v>5720</v>
      </c>
      <c r="N134" s="32">
        <f>SUM(B134:M134)</f>
        <v>159267</v>
      </c>
      <c r="O134" s="15">
        <f>(N134-N133)/N133</f>
        <v>-8.9234043347583402E-3</v>
      </c>
      <c r="P134" s="33"/>
      <c r="Q134" s="33"/>
      <c r="R134" s="33"/>
      <c r="S134" s="33"/>
      <c r="T134" s="33"/>
      <c r="U134" s="33"/>
      <c r="V134" s="33"/>
      <c r="W134" s="33"/>
      <c r="X134" s="33"/>
      <c r="Y134" s="33"/>
    </row>
    <row r="135" spans="1:25" s="3" customFormat="1" ht="18" customHeight="1" x14ac:dyDescent="0.25">
      <c r="A135" s="30">
        <v>44805</v>
      </c>
      <c r="B135" s="31">
        <f>B134-159</f>
        <v>37243</v>
      </c>
      <c r="C135" s="31">
        <f>C134-141</f>
        <v>2426</v>
      </c>
      <c r="D135" s="31">
        <f>D134-234</f>
        <v>20213</v>
      </c>
      <c r="E135" s="31">
        <f>E134+38</f>
        <v>2686</v>
      </c>
      <c r="F135" s="31">
        <f>F134+115</f>
        <v>10292</v>
      </c>
      <c r="G135" s="31">
        <f>G134-20</f>
        <v>27190</v>
      </c>
      <c r="H135" s="31">
        <f>H134+48</f>
        <v>3587</v>
      </c>
      <c r="I135" s="31">
        <f>I134-14</f>
        <v>7463</v>
      </c>
      <c r="J135" s="31">
        <f>J134-11</f>
        <v>2915</v>
      </c>
      <c r="K135" s="31">
        <f>K134-267</f>
        <v>14176</v>
      </c>
      <c r="L135" s="31">
        <f>L134+169</f>
        <v>24880</v>
      </c>
      <c r="M135" s="31">
        <f>M134-10</f>
        <v>5710</v>
      </c>
      <c r="N135" s="32">
        <f t="shared" ref="N135" si="8">SUM(B135:M135)</f>
        <v>158781</v>
      </c>
      <c r="O135" s="15">
        <f>(N135-N134)/N134</f>
        <v>-3.0514795908756992E-3</v>
      </c>
      <c r="P135" s="14"/>
      <c r="Q135" s="14"/>
      <c r="R135" s="14"/>
      <c r="S135" s="14"/>
      <c r="T135" s="14"/>
      <c r="U135" s="14"/>
      <c r="V135" s="14"/>
      <c r="W135" s="14"/>
      <c r="X135" s="14"/>
      <c r="Y135" s="14"/>
    </row>
    <row r="136" spans="1:25" s="36" customFormat="1" ht="15" customHeight="1" x14ac:dyDescent="0.25">
      <c r="A136" s="35"/>
      <c r="P136" s="37"/>
      <c r="Q136" s="37"/>
      <c r="R136" s="37"/>
      <c r="S136" s="37"/>
      <c r="T136" s="37"/>
      <c r="U136" s="37"/>
      <c r="V136" s="37"/>
      <c r="W136" s="37"/>
      <c r="X136" s="37"/>
      <c r="Y136" s="37"/>
    </row>
    <row r="137" spans="1:25" s="3" customFormat="1" ht="15" customHeight="1" x14ac:dyDescent="0.2">
      <c r="A137" s="28" t="s">
        <v>17</v>
      </c>
      <c r="B137" s="28"/>
      <c r="C137" s="28"/>
      <c r="D137" s="28"/>
      <c r="E137" s="28"/>
      <c r="F137" s="28"/>
      <c r="G137" s="28"/>
      <c r="H137" s="28"/>
      <c r="I137" s="21"/>
      <c r="J137" s="21"/>
      <c r="K137" s="21"/>
      <c r="L137" s="21"/>
      <c r="M137" s="21"/>
      <c r="N137" s="21"/>
      <c r="O137" s="21"/>
      <c r="P137" s="22"/>
      <c r="Q137" s="22"/>
      <c r="R137" s="22"/>
      <c r="S137" s="22"/>
      <c r="T137" s="22"/>
      <c r="U137" s="22"/>
      <c r="V137" s="22"/>
      <c r="W137" s="22"/>
      <c r="X137" s="22"/>
      <c r="Y137" s="22"/>
    </row>
    <row r="138" spans="1:25" s="3" customFormat="1" ht="15" customHeight="1" x14ac:dyDescent="0.2">
      <c r="A138" s="29" t="s">
        <v>18</v>
      </c>
      <c r="B138" s="29"/>
      <c r="C138" s="29"/>
      <c r="D138" s="29"/>
      <c r="E138" s="29"/>
      <c r="F138" s="29"/>
      <c r="G138" s="21"/>
      <c r="H138" s="21"/>
      <c r="I138" s="21"/>
      <c r="J138" s="21"/>
      <c r="K138" s="21"/>
      <c r="L138" s="21"/>
      <c r="M138" s="21"/>
      <c r="N138" s="21"/>
      <c r="O138" s="21"/>
      <c r="P138" s="22"/>
      <c r="Q138" s="22"/>
      <c r="R138" s="22"/>
      <c r="S138" s="22"/>
      <c r="T138" s="22"/>
      <c r="U138" s="22"/>
      <c r="V138" s="22"/>
      <c r="W138" s="22"/>
      <c r="X138" s="22"/>
      <c r="Y138" s="22"/>
    </row>
    <row r="139" spans="1:25" s="3" customFormat="1" ht="15" customHeight="1" x14ac:dyDescent="0.2">
      <c r="A139" s="29"/>
      <c r="B139" s="29"/>
      <c r="C139" s="29"/>
      <c r="D139" s="29"/>
      <c r="E139" s="29"/>
      <c r="F139" s="29"/>
      <c r="G139" s="21"/>
      <c r="H139" s="21"/>
      <c r="I139" s="21"/>
      <c r="J139" s="21"/>
      <c r="K139" s="21"/>
      <c r="L139" s="21"/>
      <c r="M139" s="21"/>
      <c r="N139" s="21"/>
      <c r="O139" s="21"/>
      <c r="P139" s="22"/>
      <c r="Q139" s="22"/>
      <c r="R139" s="22"/>
      <c r="S139" s="22"/>
      <c r="T139" s="22"/>
      <c r="U139" s="22"/>
      <c r="V139" s="22"/>
      <c r="W139" s="22"/>
      <c r="X139" s="22"/>
      <c r="Y139" s="22"/>
    </row>
    <row r="140" spans="1:25" s="3" customFormat="1" ht="15" customHeight="1" x14ac:dyDescent="0.2">
      <c r="A140" s="29"/>
      <c r="B140" s="29"/>
      <c r="C140" s="29"/>
      <c r="D140" s="29"/>
      <c r="E140" s="29"/>
      <c r="F140" s="29"/>
      <c r="G140" s="21"/>
      <c r="H140" s="21"/>
      <c r="I140" s="21"/>
      <c r="J140" s="21"/>
      <c r="K140" s="21"/>
      <c r="L140" s="21"/>
      <c r="M140" s="21"/>
      <c r="N140" s="21"/>
      <c r="O140" s="21"/>
      <c r="P140" s="22"/>
      <c r="Q140" s="22"/>
      <c r="R140" s="22"/>
      <c r="S140" s="22"/>
      <c r="T140" s="22"/>
      <c r="U140" s="22"/>
      <c r="V140" s="22"/>
      <c r="W140" s="22"/>
      <c r="X140" s="22"/>
      <c r="Y140" s="22"/>
    </row>
    <row r="141" spans="1:25" s="3" customFormat="1" ht="15" customHeight="1" x14ac:dyDescent="0.2">
      <c r="A141" s="29"/>
      <c r="B141" s="29"/>
      <c r="C141" s="29"/>
      <c r="D141" s="29"/>
      <c r="E141" s="29"/>
      <c r="F141" s="29"/>
      <c r="G141" s="21"/>
      <c r="H141" s="21"/>
      <c r="I141" s="21"/>
      <c r="J141" s="21"/>
      <c r="K141" s="21"/>
      <c r="L141" s="21"/>
      <c r="M141" s="21"/>
      <c r="N141" s="21"/>
      <c r="O141" s="21"/>
      <c r="P141" s="22"/>
      <c r="Q141" s="22"/>
      <c r="R141" s="22"/>
      <c r="S141" s="22"/>
      <c r="T141" s="22"/>
      <c r="U141" s="22"/>
      <c r="V141" s="22"/>
      <c r="W141" s="22"/>
      <c r="X141" s="22"/>
      <c r="Y141" s="22"/>
    </row>
    <row r="142" spans="1:25" s="3" customFormat="1" ht="15" customHeight="1" x14ac:dyDescent="0.2">
      <c r="A142" s="29"/>
      <c r="B142" s="29"/>
      <c r="C142" s="29"/>
      <c r="D142" s="29"/>
      <c r="E142" s="29"/>
      <c r="F142" s="29"/>
      <c r="G142" s="21"/>
      <c r="H142" s="21"/>
      <c r="I142" s="21"/>
      <c r="J142" s="21"/>
      <c r="K142" s="21"/>
      <c r="L142" s="21"/>
      <c r="M142" s="21"/>
      <c r="N142" s="21"/>
      <c r="O142" s="21"/>
      <c r="P142" s="22"/>
      <c r="Q142" s="22"/>
      <c r="R142" s="22"/>
      <c r="S142" s="22"/>
      <c r="T142" s="22"/>
      <c r="U142" s="22"/>
      <c r="V142" s="22"/>
      <c r="W142" s="22"/>
      <c r="X142" s="22"/>
      <c r="Y142" s="22"/>
    </row>
    <row r="143" spans="1:25" s="3" customFormat="1" ht="15" customHeight="1" x14ac:dyDescent="0.2">
      <c r="A143" s="29"/>
      <c r="B143" s="29"/>
      <c r="C143" s="29"/>
      <c r="D143" s="29"/>
      <c r="E143" s="29"/>
      <c r="F143" s="29"/>
      <c r="G143" s="21"/>
      <c r="H143" s="21"/>
      <c r="I143" s="21"/>
      <c r="J143" s="21"/>
      <c r="K143" s="21"/>
      <c r="L143" s="21"/>
      <c r="M143" s="21"/>
      <c r="N143" s="21"/>
      <c r="O143" s="21"/>
      <c r="P143" s="22"/>
      <c r="Q143" s="22"/>
      <c r="R143" s="22"/>
      <c r="S143" s="22"/>
      <c r="T143" s="22"/>
      <c r="U143" s="22"/>
      <c r="V143" s="22"/>
      <c r="W143" s="22"/>
      <c r="X143" s="22"/>
      <c r="Y143" s="22"/>
    </row>
    <row r="144" spans="1:25" s="3" customFormat="1" ht="0.75" customHeight="1" x14ac:dyDescent="0.2">
      <c r="A144" s="29"/>
      <c r="B144" s="29"/>
      <c r="C144" s="29"/>
      <c r="D144" s="29"/>
      <c r="E144" s="29"/>
      <c r="F144" s="29"/>
      <c r="G144" s="21"/>
      <c r="H144" s="21"/>
      <c r="I144" s="21"/>
      <c r="J144" s="21"/>
      <c r="K144" s="21"/>
      <c r="L144" s="21"/>
      <c r="M144" s="21"/>
      <c r="N144" s="21"/>
      <c r="O144" s="21"/>
      <c r="P144" s="22"/>
      <c r="Q144" s="22"/>
      <c r="R144" s="22"/>
      <c r="S144" s="22"/>
      <c r="T144" s="22"/>
      <c r="U144" s="22"/>
      <c r="V144" s="22"/>
      <c r="W144" s="22"/>
      <c r="X144" s="22"/>
      <c r="Y144" s="22"/>
    </row>
    <row r="145" spans="1:25" s="3" customFormat="1" ht="18.75" customHeight="1" x14ac:dyDescent="0.2">
      <c r="A145" s="29"/>
      <c r="B145" s="29"/>
      <c r="C145" s="29"/>
      <c r="D145" s="29"/>
      <c r="E145" s="29"/>
      <c r="F145" s="29"/>
      <c r="G145" s="21"/>
      <c r="H145" s="21"/>
      <c r="I145" s="21"/>
      <c r="J145" s="21"/>
      <c r="K145" s="21"/>
      <c r="L145" s="21"/>
      <c r="M145" s="21"/>
      <c r="N145" s="21"/>
      <c r="O145" s="21"/>
      <c r="P145" s="22"/>
      <c r="Q145" s="22"/>
      <c r="R145" s="22"/>
      <c r="S145" s="22"/>
      <c r="T145" s="22"/>
      <c r="U145" s="22"/>
      <c r="V145" s="22"/>
      <c r="W145" s="22"/>
      <c r="X145" s="22"/>
      <c r="Y145" s="22"/>
    </row>
    <row r="146" spans="1:25" s="3" customFormat="1" ht="18.75" customHeight="1" x14ac:dyDescent="0.2">
      <c r="A146" s="29"/>
      <c r="B146" s="29"/>
      <c r="C146" s="29"/>
      <c r="D146" s="29"/>
      <c r="E146" s="29"/>
      <c r="F146" s="29"/>
      <c r="G146" s="21"/>
      <c r="H146" s="21"/>
      <c r="I146" s="21"/>
      <c r="J146" s="21"/>
      <c r="K146" s="21"/>
      <c r="L146" s="21"/>
      <c r="M146" s="21"/>
      <c r="N146" s="21"/>
      <c r="O146" s="21"/>
      <c r="P146" s="22"/>
      <c r="Q146" s="22"/>
      <c r="R146" s="22"/>
      <c r="S146" s="22"/>
      <c r="T146" s="22"/>
      <c r="U146" s="22"/>
      <c r="V146" s="22"/>
      <c r="W146" s="22"/>
      <c r="X146" s="22"/>
      <c r="Y146" s="22"/>
    </row>
    <row r="147" spans="1:25" x14ac:dyDescent="0.2">
      <c r="A147" s="29"/>
      <c r="B147" s="29"/>
      <c r="C147" s="29"/>
      <c r="D147" s="29"/>
      <c r="E147" s="29"/>
      <c r="F147" s="29"/>
      <c r="G147" s="21"/>
      <c r="H147" s="21"/>
      <c r="I147" s="21"/>
      <c r="J147" s="21"/>
      <c r="K147" s="21"/>
      <c r="L147" s="21"/>
      <c r="M147" s="21"/>
      <c r="N147" s="21"/>
      <c r="O147" s="21"/>
      <c r="P147" s="22"/>
      <c r="Q147" s="22"/>
      <c r="R147" s="22"/>
      <c r="S147" s="22"/>
      <c r="T147" s="22"/>
      <c r="U147" s="22"/>
      <c r="V147" s="22"/>
      <c r="W147" s="22"/>
      <c r="X147" s="22"/>
      <c r="Y147" s="22"/>
    </row>
    <row r="148" spans="1:25" ht="130.5" customHeight="1" x14ac:dyDescent="0.2">
      <c r="A148" s="29"/>
      <c r="B148" s="29"/>
      <c r="C148" s="29"/>
      <c r="D148" s="29"/>
      <c r="E148" s="29"/>
      <c r="F148" s="29"/>
      <c r="G148" s="21"/>
      <c r="H148" s="21"/>
      <c r="I148" s="21"/>
      <c r="J148" s="21"/>
      <c r="K148" s="21"/>
      <c r="L148" s="21"/>
      <c r="M148" s="21"/>
      <c r="N148" s="21"/>
      <c r="O148" s="21"/>
      <c r="P148" s="22"/>
      <c r="Q148" s="22"/>
      <c r="R148" s="22"/>
      <c r="S148" s="22"/>
      <c r="T148" s="22"/>
      <c r="U148" s="22"/>
      <c r="V148" s="22"/>
      <c r="W148" s="22"/>
      <c r="X148" s="22"/>
      <c r="Y148" s="22"/>
    </row>
    <row r="149" spans="1:25" ht="15" customHeight="1" x14ac:dyDescent="0.2">
      <c r="A149" s="29"/>
      <c r="B149" s="29"/>
      <c r="C149" s="29"/>
      <c r="D149" s="29"/>
      <c r="E149" s="29"/>
      <c r="F149" s="29"/>
      <c r="G149" s="21"/>
      <c r="H149" s="21"/>
      <c r="I149" s="21"/>
      <c r="J149" s="21"/>
      <c r="K149" s="21"/>
      <c r="L149" s="21"/>
      <c r="M149" s="21"/>
      <c r="N149" s="21"/>
      <c r="O149" s="21"/>
      <c r="P149" s="22"/>
      <c r="Q149" s="22"/>
      <c r="R149" s="22"/>
      <c r="S149" s="22"/>
      <c r="T149" s="22"/>
      <c r="U149" s="22"/>
      <c r="V149" s="22"/>
      <c r="W149" s="22"/>
      <c r="X149" s="22"/>
      <c r="Y149" s="22"/>
    </row>
    <row r="150" spans="1:25" x14ac:dyDescent="0.2">
      <c r="A150" s="29"/>
      <c r="B150" s="29"/>
      <c r="C150" s="29"/>
      <c r="D150" s="29"/>
      <c r="E150" s="29"/>
      <c r="F150" s="29"/>
      <c r="G150" s="21"/>
      <c r="H150" s="21"/>
      <c r="I150" s="21"/>
      <c r="J150" s="21"/>
      <c r="K150" s="21"/>
      <c r="L150" s="21"/>
      <c r="M150" s="21"/>
      <c r="N150" s="21"/>
      <c r="O150" s="21"/>
      <c r="P150" s="22"/>
      <c r="Q150" s="22"/>
      <c r="R150" s="22"/>
      <c r="S150" s="22"/>
      <c r="T150" s="22"/>
      <c r="U150" s="22"/>
      <c r="V150" s="22"/>
      <c r="W150" s="22"/>
      <c r="X150" s="22"/>
      <c r="Y150" s="22"/>
    </row>
    <row r="151" spans="1:25" ht="15" customHeight="1" x14ac:dyDescent="0.2">
      <c r="A151" s="29"/>
      <c r="B151" s="29"/>
      <c r="C151" s="29"/>
      <c r="D151" s="29"/>
      <c r="E151" s="29"/>
      <c r="F151" s="29"/>
      <c r="G151" s="21"/>
      <c r="H151" s="21"/>
      <c r="I151" s="21"/>
      <c r="J151" s="21"/>
      <c r="K151" s="21"/>
      <c r="L151" s="21"/>
      <c r="M151" s="21"/>
      <c r="N151" s="21"/>
      <c r="O151" s="21"/>
      <c r="P151" s="22"/>
      <c r="Q151" s="22"/>
      <c r="R151" s="22"/>
      <c r="S151" s="22"/>
      <c r="T151" s="22"/>
      <c r="U151" s="22"/>
      <c r="V151" s="22"/>
      <c r="W151" s="22"/>
      <c r="X151" s="22"/>
      <c r="Y151" s="22"/>
    </row>
    <row r="152" spans="1:25" ht="15" customHeight="1" x14ac:dyDescent="0.2">
      <c r="A152" s="29"/>
      <c r="B152" s="29"/>
      <c r="C152" s="29"/>
      <c r="D152" s="29"/>
      <c r="E152" s="29"/>
      <c r="F152" s="29"/>
      <c r="G152" s="21"/>
      <c r="H152" s="21"/>
      <c r="I152" s="21"/>
      <c r="J152" s="21"/>
      <c r="K152" s="21"/>
      <c r="L152" s="21"/>
      <c r="M152" s="21"/>
      <c r="N152" s="21"/>
      <c r="O152" s="21"/>
      <c r="P152" s="22"/>
      <c r="Q152" s="22"/>
      <c r="R152" s="22"/>
      <c r="S152" s="22"/>
      <c r="T152" s="22"/>
      <c r="U152" s="22"/>
      <c r="V152" s="22"/>
      <c r="W152" s="22"/>
      <c r="X152" s="22"/>
      <c r="Y152" s="22"/>
    </row>
    <row r="153" spans="1:25" x14ac:dyDescent="0.2">
      <c r="A153" s="29"/>
      <c r="B153" s="29"/>
      <c r="C153" s="29"/>
      <c r="D153" s="29"/>
      <c r="E153" s="29"/>
      <c r="F153" s="29"/>
      <c r="G153" s="21"/>
      <c r="H153" s="21"/>
      <c r="I153" s="21"/>
      <c r="J153" s="21"/>
      <c r="K153" s="21"/>
      <c r="L153" s="21"/>
      <c r="M153" s="21"/>
      <c r="N153" s="21"/>
      <c r="O153" s="21"/>
      <c r="P153" s="22"/>
      <c r="Q153" s="22"/>
      <c r="R153" s="22"/>
      <c r="S153" s="22"/>
      <c r="T153" s="22"/>
      <c r="U153" s="22"/>
      <c r="V153" s="22"/>
      <c r="W153" s="22"/>
      <c r="X153" s="22"/>
      <c r="Y153" s="22"/>
    </row>
    <row r="154" spans="1:25" x14ac:dyDescent="0.2">
      <c r="A154" s="29"/>
      <c r="B154" s="29"/>
      <c r="C154" s="29"/>
      <c r="D154" s="29"/>
      <c r="E154" s="29"/>
      <c r="F154" s="29"/>
      <c r="G154" s="21"/>
      <c r="H154" s="21"/>
      <c r="I154" s="21"/>
      <c r="J154" s="21"/>
      <c r="K154" s="21"/>
      <c r="L154" s="21"/>
      <c r="M154" s="21"/>
      <c r="N154" s="21"/>
      <c r="O154" s="21"/>
      <c r="P154" s="22"/>
      <c r="Q154" s="22"/>
      <c r="R154" s="22"/>
      <c r="S154" s="22"/>
      <c r="T154" s="22"/>
      <c r="U154" s="22"/>
      <c r="V154" s="22"/>
      <c r="W154" s="22"/>
      <c r="X154" s="22"/>
      <c r="Y154" s="22"/>
    </row>
    <row r="155" spans="1:25" x14ac:dyDescent="0.2">
      <c r="A155" s="23"/>
      <c r="B155" s="21"/>
      <c r="C155" s="21"/>
      <c r="D155" s="21"/>
      <c r="E155" s="21"/>
      <c r="F155" s="21"/>
      <c r="G155" s="21"/>
      <c r="H155" s="21"/>
      <c r="I155" s="21"/>
      <c r="J155" s="21"/>
      <c r="K155" s="21"/>
      <c r="L155" s="21"/>
      <c r="M155" s="21"/>
      <c r="N155" s="21"/>
      <c r="O155" s="21"/>
      <c r="P155" s="22"/>
      <c r="Q155" s="22"/>
      <c r="R155" s="22"/>
      <c r="S155" s="22"/>
      <c r="T155" s="22"/>
      <c r="U155" s="22"/>
      <c r="V155" s="22"/>
      <c r="W155" s="22"/>
      <c r="X155" s="22"/>
      <c r="Y155" s="22"/>
    </row>
    <row r="156" spans="1:25" x14ac:dyDescent="0.2">
      <c r="A156" s="23"/>
      <c r="B156" s="21"/>
      <c r="C156" s="21"/>
      <c r="D156" s="21"/>
      <c r="E156" s="21"/>
      <c r="F156" s="21"/>
      <c r="G156" s="21"/>
      <c r="H156" s="21"/>
      <c r="I156" s="21"/>
      <c r="J156" s="21"/>
      <c r="K156" s="21"/>
      <c r="L156" s="21"/>
      <c r="M156" s="21"/>
      <c r="N156" s="21"/>
      <c r="O156" s="21"/>
      <c r="P156" s="22"/>
      <c r="Q156" s="22"/>
      <c r="R156" s="22"/>
      <c r="S156" s="22"/>
      <c r="T156" s="22"/>
      <c r="U156" s="22"/>
      <c r="V156" s="22"/>
      <c r="W156" s="22"/>
      <c r="X156" s="22"/>
      <c r="Y156" s="22"/>
    </row>
  </sheetData>
  <mergeCells count="6">
    <mergeCell ref="A138:F154"/>
    <mergeCell ref="A1:K1"/>
    <mergeCell ref="A2:K2"/>
    <mergeCell ref="A4:K4"/>
    <mergeCell ref="A3:K3"/>
    <mergeCell ref="A137:H137"/>
  </mergeCells>
  <pageMargins left="0.7" right="0.7" top="0.75" bottom="0.75" header="0.3" footer="0.3"/>
  <pageSetup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Fernanda Marquez Ragonesi</cp:lastModifiedBy>
  <dcterms:created xsi:type="dcterms:W3CDTF">2021-05-10T14:54:06Z</dcterms:created>
  <dcterms:modified xsi:type="dcterms:W3CDTF">2022-10-26T11:08:46Z</dcterms:modified>
</cp:coreProperties>
</file>