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imón\Dropbox\Ind.Econ\Laboral\"/>
    </mc:Choice>
  </mc:AlternateContent>
  <bookViews>
    <workbookView xWindow="0" yWindow="0" windowWidth="23040" windowHeight="9192"/>
  </bookViews>
  <sheets>
    <sheet name="Stock Empleados Registrados" sheetId="1" r:id="rId1"/>
    <sheet name="Evolución empleados registrados" sheetId="2" r:id="rId2"/>
  </sheets>
  <definedNames>
    <definedName name="_xlnm._FilterDatabase" localSheetId="0" hidden="1">'Stock Empleados Registrados'!$A$1:$O$146</definedName>
    <definedName name="A">#REF!</definedName>
    <definedName name="_xlnm.Database">#REF!</definedName>
    <definedName name="cfffffr" hidden="1">{"'tasa de salida'!$A$1:$G$48"}</definedName>
    <definedName name="FTI" hidden="1">{"'tasa de salida'!$A$1:$G$48"}</definedName>
    <definedName name="HTML_CodePage" hidden="1">1252</definedName>
    <definedName name="HTML_Control" hidden="1">{"'tasa de salida'!$A$1:$G$48"}</definedName>
    <definedName name="HTML_Control2" hidden="1">{"'tasa de salida'!$A$1:$G$48"}</definedName>
    <definedName name="HTML_Control3" hidden="1">{"'tasa de salida'!$A$1:$G$48"}</definedName>
    <definedName name="HTML_Description" hidden="1">""</definedName>
    <definedName name="HTML_Email" hidden="1">"dnrmt@trabajo.gov.ar"</definedName>
    <definedName name="HTML_Header" hidden="1">""</definedName>
    <definedName name="HTML_LastUpdate" hidden="1">"22/02/1999"</definedName>
    <definedName name="HTML_LineAfter" hidden="1">TRUE</definedName>
    <definedName name="HTML_LineBefore" hidden="1">FALSE</definedName>
    <definedName name="HTML_Name" hidden="1">"MTSS - SEyCL - DNRMT"</definedName>
    <definedName name="HTML_OBDlg2" hidden="1">TRUE</definedName>
    <definedName name="HTML_OBDlg4" hidden="1">TRUE</definedName>
    <definedName name="HTML_OS" hidden="1">0</definedName>
    <definedName name="HTML_PathFile" hidden="1">"Z:\juanpi\anexo eil - web\html\eil0199\1207.html"</definedName>
    <definedName name="HTML_Title" hidden="1">""</definedName>
    <definedName name="PRN9.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27" i="1" l="1"/>
  <c r="N127" i="1"/>
  <c r="M127" i="1"/>
  <c r="L127" i="1"/>
  <c r="K127" i="1"/>
  <c r="J127" i="1"/>
  <c r="I127" i="1"/>
  <c r="H127" i="1"/>
  <c r="G127" i="1"/>
  <c r="F127" i="1"/>
  <c r="E127" i="1"/>
  <c r="D127" i="1"/>
  <c r="C127" i="1"/>
  <c r="B127" i="1"/>
  <c r="O126" i="1" l="1"/>
  <c r="N126" i="1"/>
  <c r="M126" i="1"/>
  <c r="L126" i="1"/>
  <c r="K126" i="1"/>
  <c r="J126" i="1"/>
  <c r="I126" i="1"/>
  <c r="H126" i="1"/>
  <c r="G126" i="1"/>
  <c r="F126" i="1"/>
  <c r="E126" i="1"/>
  <c r="D126" i="1"/>
  <c r="C126" i="1"/>
  <c r="B126" i="1"/>
  <c r="O125" i="1" l="1"/>
  <c r="N125" i="1"/>
  <c r="M125" i="1"/>
  <c r="L125" i="1"/>
  <c r="K125" i="1"/>
  <c r="J125" i="1"/>
  <c r="I125" i="1"/>
  <c r="H125" i="1"/>
  <c r="G125" i="1"/>
  <c r="F125" i="1"/>
  <c r="E125" i="1"/>
  <c r="D125" i="1"/>
  <c r="C125" i="1"/>
  <c r="B125" i="1"/>
  <c r="O124" i="1" l="1"/>
  <c r="N124" i="1"/>
  <c r="M124" i="1"/>
  <c r="L124" i="1"/>
  <c r="K124" i="1"/>
  <c r="J124" i="1"/>
  <c r="I124" i="1"/>
  <c r="H124" i="1"/>
  <c r="G124" i="1"/>
  <c r="F124" i="1"/>
  <c r="E124" i="1"/>
  <c r="D124" i="1"/>
  <c r="C124" i="1"/>
  <c r="B124" i="1"/>
  <c r="O123" i="1" l="1"/>
  <c r="N123" i="1"/>
  <c r="M123" i="1"/>
  <c r="L123" i="1"/>
  <c r="K123" i="1"/>
  <c r="J123" i="1"/>
  <c r="I123" i="1"/>
  <c r="H123" i="1"/>
  <c r="G123" i="1"/>
  <c r="F123" i="1"/>
  <c r="E123" i="1"/>
  <c r="D123" i="1"/>
  <c r="C123" i="1"/>
  <c r="B123" i="1"/>
  <c r="O122" i="1" l="1"/>
  <c r="N122" i="1"/>
  <c r="M122" i="1"/>
  <c r="L122" i="1"/>
  <c r="K122" i="1"/>
  <c r="J122" i="1"/>
  <c r="I122" i="1"/>
  <c r="H122" i="1"/>
  <c r="G122" i="1"/>
  <c r="F122" i="1"/>
  <c r="E122" i="1"/>
  <c r="D122" i="1"/>
  <c r="C122" i="1"/>
  <c r="B122" i="1"/>
  <c r="M119" i="1" l="1"/>
  <c r="M120" i="1" s="1"/>
  <c r="M121" i="1" s="1"/>
  <c r="L119" i="1"/>
  <c r="L120" i="1" s="1"/>
  <c r="L121" i="1" s="1"/>
  <c r="K119" i="1"/>
  <c r="K120" i="1" s="1"/>
  <c r="K121" i="1" s="1"/>
  <c r="J119" i="1"/>
  <c r="J120" i="1" s="1"/>
  <c r="J121" i="1" s="1"/>
  <c r="I119" i="1"/>
  <c r="I120" i="1" s="1"/>
  <c r="I121" i="1" s="1"/>
  <c r="H119" i="1"/>
  <c r="H120" i="1" s="1"/>
  <c r="H121" i="1" s="1"/>
  <c r="G119" i="1"/>
  <c r="G120" i="1" s="1"/>
  <c r="G121" i="1" s="1"/>
  <c r="F119" i="1"/>
  <c r="F120" i="1" s="1"/>
  <c r="F121" i="1" s="1"/>
  <c r="E119" i="1"/>
  <c r="E120" i="1" s="1"/>
  <c r="E121" i="1" s="1"/>
  <c r="D119" i="1"/>
  <c r="D120" i="1" s="1"/>
  <c r="D121" i="1" s="1"/>
  <c r="C119" i="1"/>
  <c r="C120" i="1" s="1"/>
  <c r="C121" i="1" s="1"/>
  <c r="B119" i="1"/>
  <c r="B120" i="1" s="1"/>
  <c r="N118" i="1"/>
  <c r="B121" i="1" l="1"/>
  <c r="N121" i="1" s="1"/>
  <c r="N120" i="1"/>
  <c r="O120" i="1" s="1"/>
  <c r="N119" i="1"/>
  <c r="O119" i="1" s="1"/>
  <c r="O121" i="1" l="1"/>
  <c r="M113" i="1" l="1"/>
  <c r="M114" i="1" s="1"/>
  <c r="M115" i="1" s="1"/>
  <c r="M116" i="1" s="1"/>
  <c r="M117" i="1" s="1"/>
  <c r="L113" i="1"/>
  <c r="L114" i="1" s="1"/>
  <c r="L115" i="1" s="1"/>
  <c r="L116" i="1" s="1"/>
  <c r="L117" i="1" s="1"/>
  <c r="K113" i="1"/>
  <c r="K114" i="1" s="1"/>
  <c r="K115" i="1" s="1"/>
  <c r="K116" i="1" s="1"/>
  <c r="K117" i="1" s="1"/>
  <c r="J113" i="1"/>
  <c r="J114" i="1" s="1"/>
  <c r="J115" i="1" s="1"/>
  <c r="J116" i="1" s="1"/>
  <c r="J117" i="1" s="1"/>
  <c r="I113" i="1"/>
  <c r="I114" i="1" s="1"/>
  <c r="I115" i="1" s="1"/>
  <c r="I116" i="1" s="1"/>
  <c r="I117" i="1" s="1"/>
  <c r="H113" i="1"/>
  <c r="H114" i="1" s="1"/>
  <c r="H115" i="1" s="1"/>
  <c r="H116" i="1" s="1"/>
  <c r="H117" i="1" s="1"/>
  <c r="G113" i="1"/>
  <c r="G114" i="1" s="1"/>
  <c r="G115" i="1" s="1"/>
  <c r="G116" i="1" s="1"/>
  <c r="G117" i="1" s="1"/>
  <c r="F113" i="1"/>
  <c r="F114" i="1" s="1"/>
  <c r="F115" i="1" s="1"/>
  <c r="F116" i="1" s="1"/>
  <c r="F117" i="1" s="1"/>
  <c r="E113" i="1"/>
  <c r="E114" i="1" s="1"/>
  <c r="E115" i="1" s="1"/>
  <c r="E116" i="1" s="1"/>
  <c r="E117" i="1" s="1"/>
  <c r="D113" i="1"/>
  <c r="D114" i="1" s="1"/>
  <c r="D115" i="1" s="1"/>
  <c r="D116" i="1" s="1"/>
  <c r="D117" i="1" s="1"/>
  <c r="C113" i="1"/>
  <c r="C114" i="1" s="1"/>
  <c r="C115" i="1" s="1"/>
  <c r="C116" i="1" s="1"/>
  <c r="C117" i="1" s="1"/>
  <c r="B113" i="1"/>
  <c r="N112" i="1"/>
  <c r="N111" i="1"/>
  <c r="N110" i="1"/>
  <c r="N109" i="1"/>
  <c r="N108" i="1"/>
  <c r="O109" i="1" s="1"/>
  <c r="N107" i="1"/>
  <c r="N106" i="1"/>
  <c r="N105" i="1"/>
  <c r="N104" i="1"/>
  <c r="O105" i="1" s="1"/>
  <c r="N103" i="1"/>
  <c r="N102" i="1"/>
  <c r="O103" i="1" s="1"/>
  <c r="N101" i="1"/>
  <c r="N100" i="1"/>
  <c r="O101" i="1" s="1"/>
  <c r="N99" i="1"/>
  <c r="N98" i="1"/>
  <c r="O99" i="1" s="1"/>
  <c r="N97" i="1"/>
  <c r="N96" i="1"/>
  <c r="O97" i="1" s="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 r="O7" i="1"/>
  <c r="O6" i="1"/>
  <c r="N113" i="1" l="1"/>
  <c r="O113" i="1" s="1"/>
  <c r="B114" i="1"/>
  <c r="B115" i="1" s="1"/>
  <c r="O107" i="1"/>
  <c r="O111" i="1"/>
  <c r="O112" i="1"/>
  <c r="N115" i="1"/>
  <c r="B116" i="1"/>
  <c r="N114" i="1"/>
  <c r="O114" i="1" s="1"/>
  <c r="O96" i="1"/>
  <c r="O98" i="1"/>
  <c r="O100" i="1"/>
  <c r="O102" i="1"/>
  <c r="O104" i="1"/>
  <c r="O106" i="1"/>
  <c r="O108" i="1"/>
  <c r="O110" i="1"/>
  <c r="N116" i="1" l="1"/>
  <c r="B117" i="1"/>
  <c r="N117" i="1" s="1"/>
  <c r="O115" i="1"/>
  <c r="O116" i="1"/>
  <c r="O117" i="1" l="1"/>
  <c r="O118" i="1"/>
</calcChain>
</file>

<file path=xl/sharedStrings.xml><?xml version="1.0" encoding="utf-8"?>
<sst xmlns="http://schemas.openxmlformats.org/spreadsheetml/2006/main" count="20" uniqueCount="20">
  <si>
    <t>Stock y variación porcentual mensual de empleados registrados</t>
  </si>
  <si>
    <t>Tucumán</t>
  </si>
  <si>
    <t>Fecha</t>
  </si>
  <si>
    <t>AGRICULTURA, GANADERIA, CAZA Y SILVICULTURA</t>
  </si>
  <si>
    <t>EXPLOTACION DE MINAS Y CANTERAS</t>
  </si>
  <si>
    <t>INDUSTRIA MANUFACTURERA</t>
  </si>
  <si>
    <t>ELECTRICIDAD, GAS Y AGUA</t>
  </si>
  <si>
    <t>CONSTRUCCION</t>
  </si>
  <si>
    <t>COMERCIO AL POR MAYOR Y AL POR MENOR</t>
  </si>
  <si>
    <t>SERVICIOS DE HOTELERIA Y RESTAURANTES</t>
  </si>
  <si>
    <t>SERVICIO DE TRANSPORTE, DE ALMACENAMIENTO Y DE COMUNICACIONES</t>
  </si>
  <si>
    <t>INTERMEDIACION FINANCIERA Y OTROS SERVICIOS FINANCIEROS</t>
  </si>
  <si>
    <t>SERVICIOS INMOBILIARIOS, EMPRESARIALES Y DE ALQUILER</t>
  </si>
  <si>
    <t>ENSEÑANZA</t>
  </si>
  <si>
    <t>SERVICIOS COMUNITARIOS, SOCIALES Y PERSONALES N.C.P</t>
  </si>
  <si>
    <t>Total</t>
  </si>
  <si>
    <t>Variación respecto al mes anterior</t>
  </si>
  <si>
    <r>
      <rPr>
        <b/>
        <sz val="11"/>
        <color theme="1"/>
        <rFont val="Arial"/>
        <family val="2"/>
      </rPr>
      <t xml:space="preserve">Fuente: </t>
    </r>
    <r>
      <rPr>
        <sz val="11"/>
        <color theme="1"/>
        <rFont val="Arial"/>
        <family val="2"/>
      </rPr>
      <t>Administración Federal De Ingresos Públicos (AFIP)</t>
    </r>
  </si>
  <si>
    <r>
      <rPr>
        <b/>
        <sz val="11"/>
        <color theme="1"/>
        <rFont val="Arial"/>
        <family val="2"/>
      </rPr>
      <t>Nota:</t>
    </r>
    <r>
      <rPr>
        <sz val="11"/>
        <color theme="1"/>
        <rFont val="Arial"/>
        <family val="2"/>
      </rPr>
      <t xml:space="preserve"> Es importante destacar que el stock de empleados se calcula como la suma de los rubros mencionados pero no representa el total de empleados registrados de la provincia.
Los rubros incluidos son: -Agricultura, ganaderia, caza y silvicultura.
-Explotacion de minas y canteras.
-Industria manufacturera.
-Electricidad, gas y agua.
-Construccion.
-Comercio al por mayor y por menor.
-Servicios de hoteleria y restaurantes
-Servicio de transporte, de almacenamiento y de comunicaciones.
-Intermediacion financiera y otros servicios financieraos
-Servicios inmobiliarios y empresariales y de alquiler.
-Enseñanza
-Servicios comunitarios y sociales</t>
    </r>
  </si>
  <si>
    <t>Período: diciembre 2011 - febrero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</si>
</sst>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Arial"/>
      <family val="2"/>
    </font>
    <font>
      <sz val="12"/>
      <color theme="1"/>
      <name val="Calibri"/>
      <family val="2"/>
      <scheme val="minor"/>
    </font>
    <font>
      <b/>
      <sz val="12"/>
      <color theme="0"/>
      <name val="Arial"/>
      <family val="2"/>
    </font>
    <font>
      <b/>
      <sz val="11"/>
      <color theme="0"/>
      <name val="Arial"/>
      <family val="2"/>
    </font>
    <font>
      <b/>
      <sz val="11"/>
      <color theme="1"/>
      <name val="Arial"/>
      <family val="2"/>
    </font>
    <font>
      <sz val="10"/>
      <color theme="1"/>
      <name val="Arial"/>
      <family val="2"/>
    </font>
    <font>
      <b/>
      <sz val="12"/>
      <color theme="0"/>
      <name val="Calibri"/>
      <family val="2"/>
      <scheme val="minor"/>
    </font>
    <font>
      <b/>
      <sz val="10"/>
      <color theme="1"/>
      <name val="Arial"/>
      <family val="2"/>
    </font>
    <font>
      <sz val="11"/>
      <color theme="1"/>
      <name val="Arial"/>
      <family val="2"/>
    </font>
  </fonts>
  <fills count="4">
    <fill>
      <patternFill patternType="none"/>
    </fill>
    <fill>
      <patternFill patternType="gray125"/>
    </fill>
    <fill>
      <patternFill patternType="solid">
        <fgColor theme="3" tint="-0.249977111117893"/>
        <bgColor indexed="64"/>
      </patternFill>
    </fill>
    <fill>
      <patternFill patternType="solid">
        <fgColor theme="0"/>
        <bgColor indexed="64"/>
      </patternFill>
    </fill>
  </fills>
  <borders count="8">
    <border>
      <left/>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44">
    <xf numFmtId="0" fontId="0" fillId="0" borderId="0" xfId="0"/>
    <xf numFmtId="0" fontId="3" fillId="2" borderId="1" xfId="0" applyFont="1" applyFill="1" applyBorder="1" applyAlignment="1">
      <alignment horizontal="left" vertical="center"/>
    </xf>
    <xf numFmtId="0" fontId="4" fillId="2" borderId="0" xfId="0" applyFont="1" applyFill="1" applyBorder="1" applyAlignment="1">
      <alignment vertical="center"/>
    </xf>
    <xf numFmtId="0" fontId="5" fillId="2" borderId="0" xfId="0" applyFont="1" applyFill="1" applyBorder="1" applyAlignment="1">
      <alignment vertical="center"/>
    </xf>
    <xf numFmtId="0" fontId="4" fillId="2" borderId="2" xfId="0" applyFont="1" applyFill="1" applyBorder="1" applyAlignment="1">
      <alignment vertical="center"/>
    </xf>
    <xf numFmtId="0" fontId="0" fillId="2" borderId="0" xfId="0" applyFill="1"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0" fillId="3" borderId="0" xfId="0" applyFill="1" applyAlignment="1">
      <alignment vertical="center"/>
    </xf>
    <xf numFmtId="0" fontId="6" fillId="2" borderId="0" xfId="0" applyFont="1" applyFill="1" applyBorder="1" applyAlignment="1">
      <alignment vertical="top"/>
    </xf>
    <xf numFmtId="0" fontId="7" fillId="2" borderId="0" xfId="0" applyFont="1" applyFill="1" applyBorder="1" applyAlignment="1">
      <alignment vertical="center"/>
    </xf>
    <xf numFmtId="0" fontId="8" fillId="2" borderId="0" xfId="0" applyFont="1" applyFill="1" applyBorder="1" applyAlignment="1">
      <alignment vertical="center"/>
    </xf>
    <xf numFmtId="0" fontId="8" fillId="2" borderId="4" xfId="0" applyFont="1" applyFill="1" applyBorder="1" applyAlignment="1">
      <alignment vertical="center"/>
    </xf>
    <xf numFmtId="0" fontId="9" fillId="2" borderId="5" xfId="0" applyFont="1" applyFill="1" applyBorder="1" applyAlignment="1">
      <alignment vertical="center"/>
    </xf>
    <xf numFmtId="0" fontId="0" fillId="2" borderId="5" xfId="0" applyFill="1" applyBorder="1" applyAlignment="1">
      <alignment vertical="center"/>
    </xf>
    <xf numFmtId="0" fontId="8" fillId="2" borderId="5" xfId="0" applyFont="1" applyFill="1" applyBorder="1" applyAlignment="1">
      <alignment vertical="center"/>
    </xf>
    <xf numFmtId="0" fontId="8" fillId="2" borderId="6" xfId="0" applyFont="1" applyFill="1" applyBorder="1" applyAlignment="1">
      <alignment vertical="center"/>
    </xf>
    <xf numFmtId="0" fontId="10" fillId="3" borderId="7" xfId="0" applyFont="1" applyFill="1" applyBorder="1" applyAlignment="1" applyProtection="1">
      <alignment horizontal="center" vertical="center" wrapText="1"/>
      <protection locked="0"/>
    </xf>
    <xf numFmtId="0" fontId="10" fillId="3" borderId="7" xfId="0" applyFont="1" applyFill="1" applyBorder="1" applyAlignment="1">
      <alignment horizontal="center" vertical="center" wrapText="1"/>
    </xf>
    <xf numFmtId="17" fontId="8" fillId="3" borderId="7" xfId="0" applyNumberFormat="1" applyFont="1" applyFill="1" applyBorder="1" applyAlignment="1" applyProtection="1">
      <alignment horizontal="left" vertical="center"/>
      <protection locked="0"/>
    </xf>
    <xf numFmtId="3" fontId="8" fillId="3" borderId="7" xfId="0" applyNumberFormat="1" applyFont="1" applyFill="1" applyBorder="1" applyAlignment="1">
      <alignment horizontal="center" vertical="center"/>
    </xf>
    <xf numFmtId="3" fontId="10" fillId="3" borderId="7" xfId="0" applyNumberFormat="1" applyFont="1" applyFill="1" applyBorder="1" applyAlignment="1">
      <alignment horizontal="center" vertical="center"/>
    </xf>
    <xf numFmtId="0" fontId="10" fillId="3" borderId="7" xfId="0" applyFont="1" applyFill="1" applyBorder="1" applyAlignment="1">
      <alignment horizontal="center" vertical="center"/>
    </xf>
    <xf numFmtId="10" fontId="10" fillId="3" borderId="7" xfId="1" applyNumberFormat="1" applyFont="1" applyFill="1" applyBorder="1" applyAlignment="1">
      <alignment horizontal="center" vertical="center"/>
    </xf>
    <xf numFmtId="10" fontId="0" fillId="3" borderId="0" xfId="1" applyNumberFormat="1" applyFont="1" applyFill="1" applyAlignment="1">
      <alignment vertical="center"/>
    </xf>
    <xf numFmtId="0" fontId="11" fillId="3" borderId="0" xfId="0" applyFont="1" applyFill="1" applyAlignment="1">
      <alignment vertical="center"/>
    </xf>
    <xf numFmtId="10" fontId="2" fillId="3" borderId="7" xfId="1" applyNumberFormat="1" applyFont="1" applyFill="1" applyBorder="1" applyAlignment="1">
      <alignment horizontal="center" vertical="center"/>
    </xf>
    <xf numFmtId="3" fontId="8" fillId="3" borderId="7" xfId="0" applyNumberFormat="1" applyFont="1" applyFill="1" applyBorder="1" applyAlignment="1">
      <alignment horizontal="center" vertical="center" wrapText="1"/>
    </xf>
    <xf numFmtId="3" fontId="10" fillId="3" borderId="7" xfId="0" applyNumberFormat="1" applyFont="1" applyFill="1" applyBorder="1" applyAlignment="1">
      <alignment horizontal="center" vertical="center" wrapText="1"/>
    </xf>
    <xf numFmtId="10" fontId="10" fillId="3" borderId="7" xfId="1" applyNumberFormat="1" applyFont="1" applyFill="1" applyBorder="1" applyAlignment="1">
      <alignment horizontal="center" vertical="center" wrapText="1"/>
    </xf>
    <xf numFmtId="0" fontId="11" fillId="3" borderId="0" xfId="0" applyFont="1" applyFill="1" applyAlignment="1">
      <alignment horizontal="left" vertical="center" wrapText="1"/>
    </xf>
    <xf numFmtId="3" fontId="8" fillId="3" borderId="7" xfId="0" applyNumberFormat="1" applyFont="1" applyFill="1" applyBorder="1" applyAlignment="1" applyProtection="1">
      <alignment horizontal="center" vertical="center"/>
      <protection locked="0"/>
    </xf>
    <xf numFmtId="3" fontId="11" fillId="3" borderId="0" xfId="0" applyNumberFormat="1" applyFont="1" applyFill="1" applyAlignment="1">
      <alignment horizontal="left" vertical="center" wrapText="1"/>
    </xf>
    <xf numFmtId="3" fontId="8" fillId="3" borderId="7" xfId="0" applyNumberFormat="1" applyFont="1" applyFill="1" applyBorder="1" applyAlignment="1" applyProtection="1">
      <alignment horizontal="center" vertical="center"/>
    </xf>
    <xf numFmtId="17" fontId="8" fillId="3" borderId="0" xfId="0" applyNumberFormat="1" applyFont="1" applyFill="1" applyBorder="1" applyAlignment="1" applyProtection="1">
      <alignment horizontal="left" vertical="center"/>
      <protection locked="0"/>
    </xf>
    <xf numFmtId="3" fontId="8" fillId="3" borderId="0" xfId="0" applyNumberFormat="1" applyFont="1" applyFill="1" applyBorder="1" applyAlignment="1" applyProtection="1">
      <alignment horizontal="center" vertical="center"/>
    </xf>
    <xf numFmtId="3" fontId="10" fillId="3" borderId="0" xfId="0" applyNumberFormat="1" applyFont="1" applyFill="1" applyBorder="1" applyAlignment="1">
      <alignment horizontal="center" vertical="center" wrapText="1"/>
    </xf>
    <xf numFmtId="10" fontId="10" fillId="3" borderId="0" xfId="1" applyNumberFormat="1" applyFont="1" applyFill="1" applyBorder="1" applyAlignment="1">
      <alignment horizontal="center" vertical="center"/>
    </xf>
    <xf numFmtId="0" fontId="11" fillId="3" borderId="0" xfId="0" applyFont="1" applyFill="1" applyAlignment="1">
      <alignment vertical="top" wrapText="1"/>
    </xf>
    <xf numFmtId="0" fontId="11" fillId="3" borderId="0" xfId="0" applyFont="1" applyFill="1" applyAlignment="1">
      <alignment horizontal="left" vertical="top" wrapText="1"/>
    </xf>
    <xf numFmtId="3" fontId="11" fillId="3" borderId="0" xfId="0" applyNumberFormat="1" applyFont="1" applyFill="1" applyAlignment="1">
      <alignment horizontal="left" vertical="top" wrapText="1"/>
    </xf>
    <xf numFmtId="0" fontId="11" fillId="3" borderId="0" xfId="0" applyFont="1" applyFill="1" applyAlignment="1">
      <alignment horizontal="center" vertical="center" wrapText="1"/>
    </xf>
    <xf numFmtId="0" fontId="3" fillId="2" borderId="0" xfId="0" applyFont="1" applyFill="1" applyBorder="1" applyAlignment="1">
      <alignment horizontal="center" vertical="center"/>
    </xf>
    <xf numFmtId="0" fontId="11" fillId="3" borderId="0" xfId="0" applyFont="1" applyFill="1" applyAlignment="1">
      <alignment horizontal="left" vertical="top"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a:t>Stock de empleados registrados</a:t>
            </a:r>
          </a:p>
          <a:p>
            <a:pPr>
              <a:defRPr/>
            </a:pPr>
            <a:r>
              <a:rPr lang="es-AR"/>
              <a:t>Período:</a:t>
            </a:r>
            <a:r>
              <a:rPr lang="es-AR" baseline="0"/>
              <a:t> noviembre 2018 - mayo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0.12742677314482798"/>
          <c:y val="0.1150256090757581"/>
          <c:w val="0.82063264063343144"/>
          <c:h val="0.67552140231524316"/>
        </c:manualLayout>
      </c:layout>
      <c:lineChart>
        <c:grouping val="standard"/>
        <c:varyColors val="0"/>
        <c:ser>
          <c:idx val="0"/>
          <c:order val="0"/>
          <c:tx>
            <c:v>Serie 1</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'Stock Empleados Registrados'!$A$5:$A$117</c:f>
              <c:numCache>
                <c:formatCode>mmm\-yy</c:formatCode>
                <c:ptCount val="113"/>
                <c:pt idx="0">
                  <c:v>40878</c:v>
                </c:pt>
                <c:pt idx="1">
                  <c:v>40909</c:v>
                </c:pt>
                <c:pt idx="2">
                  <c:v>40940</c:v>
                </c:pt>
                <c:pt idx="3">
                  <c:v>40969</c:v>
                </c:pt>
                <c:pt idx="4">
                  <c:v>41000</c:v>
                </c:pt>
                <c:pt idx="5">
                  <c:v>41030</c:v>
                </c:pt>
                <c:pt idx="6">
                  <c:v>41061</c:v>
                </c:pt>
                <c:pt idx="7">
                  <c:v>41091</c:v>
                </c:pt>
                <c:pt idx="8">
                  <c:v>41122</c:v>
                </c:pt>
                <c:pt idx="9">
                  <c:v>41153</c:v>
                </c:pt>
                <c:pt idx="10">
                  <c:v>41183</c:v>
                </c:pt>
                <c:pt idx="11">
                  <c:v>41214</c:v>
                </c:pt>
                <c:pt idx="12">
                  <c:v>41244</c:v>
                </c:pt>
                <c:pt idx="13">
                  <c:v>41275</c:v>
                </c:pt>
                <c:pt idx="14">
                  <c:v>41306</c:v>
                </c:pt>
                <c:pt idx="15">
                  <c:v>41334</c:v>
                </c:pt>
                <c:pt idx="16">
                  <c:v>41365</c:v>
                </c:pt>
                <c:pt idx="17">
                  <c:v>41395</c:v>
                </c:pt>
                <c:pt idx="18">
                  <c:v>41426</c:v>
                </c:pt>
                <c:pt idx="19">
                  <c:v>41456</c:v>
                </c:pt>
                <c:pt idx="20">
                  <c:v>41487</c:v>
                </c:pt>
                <c:pt idx="21">
                  <c:v>41518</c:v>
                </c:pt>
                <c:pt idx="22">
                  <c:v>41548</c:v>
                </c:pt>
                <c:pt idx="23">
                  <c:v>41579</c:v>
                </c:pt>
                <c:pt idx="24">
                  <c:v>41609</c:v>
                </c:pt>
                <c:pt idx="25">
                  <c:v>41640</c:v>
                </c:pt>
                <c:pt idx="26">
                  <c:v>41671</c:v>
                </c:pt>
                <c:pt idx="27">
                  <c:v>41699</c:v>
                </c:pt>
                <c:pt idx="28">
                  <c:v>41730</c:v>
                </c:pt>
                <c:pt idx="29">
                  <c:v>41760</c:v>
                </c:pt>
                <c:pt idx="30">
                  <c:v>41791</c:v>
                </c:pt>
                <c:pt idx="31">
                  <c:v>41821</c:v>
                </c:pt>
                <c:pt idx="32">
                  <c:v>41852</c:v>
                </c:pt>
                <c:pt idx="33">
                  <c:v>41883</c:v>
                </c:pt>
                <c:pt idx="34">
                  <c:v>41913</c:v>
                </c:pt>
                <c:pt idx="35">
                  <c:v>41944</c:v>
                </c:pt>
                <c:pt idx="36">
                  <c:v>41974</c:v>
                </c:pt>
                <c:pt idx="37">
                  <c:v>42005</c:v>
                </c:pt>
                <c:pt idx="38">
                  <c:v>42036</c:v>
                </c:pt>
                <c:pt idx="39">
                  <c:v>42064</c:v>
                </c:pt>
                <c:pt idx="40">
                  <c:v>42095</c:v>
                </c:pt>
                <c:pt idx="41">
                  <c:v>42125</c:v>
                </c:pt>
                <c:pt idx="42">
                  <c:v>42156</c:v>
                </c:pt>
                <c:pt idx="43">
                  <c:v>42186</c:v>
                </c:pt>
                <c:pt idx="44">
                  <c:v>42217</c:v>
                </c:pt>
                <c:pt idx="45">
                  <c:v>42248</c:v>
                </c:pt>
                <c:pt idx="46">
                  <c:v>42278</c:v>
                </c:pt>
                <c:pt idx="47">
                  <c:v>42309</c:v>
                </c:pt>
                <c:pt idx="48">
                  <c:v>42339</c:v>
                </c:pt>
                <c:pt idx="49">
                  <c:v>42370</c:v>
                </c:pt>
                <c:pt idx="50">
                  <c:v>42401</c:v>
                </c:pt>
                <c:pt idx="51">
                  <c:v>42430</c:v>
                </c:pt>
                <c:pt idx="52">
                  <c:v>42461</c:v>
                </c:pt>
                <c:pt idx="53">
                  <c:v>42491</c:v>
                </c:pt>
                <c:pt idx="54">
                  <c:v>42522</c:v>
                </c:pt>
                <c:pt idx="55">
                  <c:v>42552</c:v>
                </c:pt>
                <c:pt idx="56">
                  <c:v>42583</c:v>
                </c:pt>
                <c:pt idx="57">
                  <c:v>42614</c:v>
                </c:pt>
                <c:pt idx="58">
                  <c:v>42644</c:v>
                </c:pt>
                <c:pt idx="59">
                  <c:v>42675</c:v>
                </c:pt>
                <c:pt idx="60">
                  <c:v>42705</c:v>
                </c:pt>
                <c:pt idx="61">
                  <c:v>42736</c:v>
                </c:pt>
                <c:pt idx="62">
                  <c:v>42767</c:v>
                </c:pt>
                <c:pt idx="63">
                  <c:v>42795</c:v>
                </c:pt>
                <c:pt idx="64">
                  <c:v>42826</c:v>
                </c:pt>
                <c:pt idx="65">
                  <c:v>42856</c:v>
                </c:pt>
                <c:pt idx="66">
                  <c:v>42887</c:v>
                </c:pt>
                <c:pt idx="67">
                  <c:v>42917</c:v>
                </c:pt>
                <c:pt idx="68">
                  <c:v>42948</c:v>
                </c:pt>
                <c:pt idx="69">
                  <c:v>42979</c:v>
                </c:pt>
                <c:pt idx="70">
                  <c:v>43009</c:v>
                </c:pt>
                <c:pt idx="71">
                  <c:v>43040</c:v>
                </c:pt>
                <c:pt idx="72">
                  <c:v>43070</c:v>
                </c:pt>
                <c:pt idx="73">
                  <c:v>43101</c:v>
                </c:pt>
                <c:pt idx="74">
                  <c:v>43132</c:v>
                </c:pt>
                <c:pt idx="75">
                  <c:v>43160</c:v>
                </c:pt>
                <c:pt idx="76">
                  <c:v>43191</c:v>
                </c:pt>
                <c:pt idx="77">
                  <c:v>43221</c:v>
                </c:pt>
                <c:pt idx="78">
                  <c:v>43252</c:v>
                </c:pt>
                <c:pt idx="79">
                  <c:v>43282</c:v>
                </c:pt>
                <c:pt idx="80">
                  <c:v>43313</c:v>
                </c:pt>
                <c:pt idx="81">
                  <c:v>43344</c:v>
                </c:pt>
                <c:pt idx="82">
                  <c:v>43374</c:v>
                </c:pt>
                <c:pt idx="83">
                  <c:v>43405</c:v>
                </c:pt>
                <c:pt idx="84">
                  <c:v>43435</c:v>
                </c:pt>
                <c:pt idx="85">
                  <c:v>43466</c:v>
                </c:pt>
                <c:pt idx="86">
                  <c:v>43497</c:v>
                </c:pt>
                <c:pt idx="87">
                  <c:v>43525</c:v>
                </c:pt>
                <c:pt idx="88">
                  <c:v>43556</c:v>
                </c:pt>
                <c:pt idx="89">
                  <c:v>43586</c:v>
                </c:pt>
                <c:pt idx="90">
                  <c:v>43617</c:v>
                </c:pt>
                <c:pt idx="91">
                  <c:v>43647</c:v>
                </c:pt>
                <c:pt idx="92">
                  <c:v>43678</c:v>
                </c:pt>
                <c:pt idx="93">
                  <c:v>43709</c:v>
                </c:pt>
                <c:pt idx="94">
                  <c:v>43739</c:v>
                </c:pt>
                <c:pt idx="95">
                  <c:v>43770</c:v>
                </c:pt>
                <c:pt idx="96">
                  <c:v>43800</c:v>
                </c:pt>
                <c:pt idx="97">
                  <c:v>43831</c:v>
                </c:pt>
                <c:pt idx="98">
                  <c:v>43862</c:v>
                </c:pt>
                <c:pt idx="99">
                  <c:v>43891</c:v>
                </c:pt>
                <c:pt idx="100">
                  <c:v>43922</c:v>
                </c:pt>
                <c:pt idx="101">
                  <c:v>43952</c:v>
                </c:pt>
                <c:pt idx="102">
                  <c:v>43983</c:v>
                </c:pt>
                <c:pt idx="103">
                  <c:v>44013</c:v>
                </c:pt>
                <c:pt idx="104">
                  <c:v>44044</c:v>
                </c:pt>
                <c:pt idx="105">
                  <c:v>44075</c:v>
                </c:pt>
                <c:pt idx="106">
                  <c:v>44105</c:v>
                </c:pt>
                <c:pt idx="107">
                  <c:v>44136</c:v>
                </c:pt>
                <c:pt idx="108">
                  <c:v>44166</c:v>
                </c:pt>
                <c:pt idx="109">
                  <c:v>44197</c:v>
                </c:pt>
                <c:pt idx="110">
                  <c:v>44228</c:v>
                </c:pt>
                <c:pt idx="111">
                  <c:v>44256</c:v>
                </c:pt>
                <c:pt idx="112">
                  <c:v>44287</c:v>
                </c:pt>
              </c:numCache>
            </c:numRef>
          </c:cat>
          <c:val>
            <c:numRef>
              <c:f>'Stock Empleados Registrados'!$N$5:$N$117</c:f>
              <c:numCache>
                <c:formatCode>#,##0</c:formatCode>
                <c:ptCount val="113"/>
                <c:pt idx="0">
                  <c:v>163598</c:v>
                </c:pt>
                <c:pt idx="1">
                  <c:v>166466</c:v>
                </c:pt>
                <c:pt idx="2">
                  <c:v>167262</c:v>
                </c:pt>
                <c:pt idx="3">
                  <c:v>169587</c:v>
                </c:pt>
                <c:pt idx="4">
                  <c:v>172947</c:v>
                </c:pt>
                <c:pt idx="5">
                  <c:v>176788</c:v>
                </c:pt>
                <c:pt idx="6">
                  <c:v>180203</c:v>
                </c:pt>
                <c:pt idx="7">
                  <c:v>180682</c:v>
                </c:pt>
                <c:pt idx="8">
                  <c:v>178079</c:v>
                </c:pt>
                <c:pt idx="9">
                  <c:v>177911</c:v>
                </c:pt>
                <c:pt idx="10">
                  <c:v>177829</c:v>
                </c:pt>
                <c:pt idx="11">
                  <c:v>175268</c:v>
                </c:pt>
                <c:pt idx="12">
                  <c:v>172576</c:v>
                </c:pt>
                <c:pt idx="13">
                  <c:v>169936</c:v>
                </c:pt>
                <c:pt idx="14">
                  <c:v>167116</c:v>
                </c:pt>
                <c:pt idx="15">
                  <c:v>169312</c:v>
                </c:pt>
                <c:pt idx="16">
                  <c:v>174623</c:v>
                </c:pt>
                <c:pt idx="17">
                  <c:v>177488</c:v>
                </c:pt>
                <c:pt idx="18">
                  <c:v>178416</c:v>
                </c:pt>
                <c:pt idx="19">
                  <c:v>178697</c:v>
                </c:pt>
                <c:pt idx="20">
                  <c:v>176376</c:v>
                </c:pt>
                <c:pt idx="21">
                  <c:v>176071</c:v>
                </c:pt>
                <c:pt idx="22">
                  <c:v>175155</c:v>
                </c:pt>
                <c:pt idx="23">
                  <c:v>174486</c:v>
                </c:pt>
                <c:pt idx="24">
                  <c:v>172736</c:v>
                </c:pt>
                <c:pt idx="25">
                  <c:v>171679</c:v>
                </c:pt>
                <c:pt idx="26">
                  <c:v>167697</c:v>
                </c:pt>
                <c:pt idx="27">
                  <c:v>166223</c:v>
                </c:pt>
                <c:pt idx="28">
                  <c:v>168482</c:v>
                </c:pt>
                <c:pt idx="29">
                  <c:v>170202</c:v>
                </c:pt>
                <c:pt idx="30">
                  <c:v>171859</c:v>
                </c:pt>
                <c:pt idx="31">
                  <c:v>169712</c:v>
                </c:pt>
                <c:pt idx="32">
                  <c:v>168925</c:v>
                </c:pt>
                <c:pt idx="33">
                  <c:v>169632</c:v>
                </c:pt>
                <c:pt idx="34">
                  <c:v>169463</c:v>
                </c:pt>
                <c:pt idx="35">
                  <c:v>169363</c:v>
                </c:pt>
                <c:pt idx="36">
                  <c:v>164232</c:v>
                </c:pt>
                <c:pt idx="37">
                  <c:v>163228</c:v>
                </c:pt>
                <c:pt idx="38">
                  <c:v>163325</c:v>
                </c:pt>
                <c:pt idx="39">
                  <c:v>162242</c:v>
                </c:pt>
                <c:pt idx="40">
                  <c:v>165476</c:v>
                </c:pt>
                <c:pt idx="41">
                  <c:v>165431</c:v>
                </c:pt>
                <c:pt idx="42">
                  <c:v>169090</c:v>
                </c:pt>
                <c:pt idx="43">
                  <c:v>170196</c:v>
                </c:pt>
                <c:pt idx="44">
                  <c:v>168554</c:v>
                </c:pt>
                <c:pt idx="45">
                  <c:v>167675</c:v>
                </c:pt>
                <c:pt idx="46">
                  <c:v>167019</c:v>
                </c:pt>
                <c:pt idx="47">
                  <c:v>164758</c:v>
                </c:pt>
                <c:pt idx="48">
                  <c:v>162393</c:v>
                </c:pt>
                <c:pt idx="49">
                  <c:v>159250</c:v>
                </c:pt>
                <c:pt idx="50">
                  <c:v>158220</c:v>
                </c:pt>
                <c:pt idx="51">
                  <c:v>162301</c:v>
                </c:pt>
                <c:pt idx="52">
                  <c:v>167187</c:v>
                </c:pt>
                <c:pt idx="53">
                  <c:v>170478</c:v>
                </c:pt>
                <c:pt idx="54">
                  <c:v>173623</c:v>
                </c:pt>
                <c:pt idx="55">
                  <c:v>174864</c:v>
                </c:pt>
                <c:pt idx="56">
                  <c:v>168477</c:v>
                </c:pt>
                <c:pt idx="57">
                  <c:v>169241</c:v>
                </c:pt>
                <c:pt idx="58">
                  <c:v>169150</c:v>
                </c:pt>
                <c:pt idx="59">
                  <c:v>169059</c:v>
                </c:pt>
                <c:pt idx="60">
                  <c:v>165275</c:v>
                </c:pt>
                <c:pt idx="61">
                  <c:v>163787</c:v>
                </c:pt>
                <c:pt idx="62">
                  <c:v>162823</c:v>
                </c:pt>
                <c:pt idx="63">
                  <c:v>167425</c:v>
                </c:pt>
                <c:pt idx="64">
                  <c:v>172114</c:v>
                </c:pt>
                <c:pt idx="65">
                  <c:v>178626</c:v>
                </c:pt>
                <c:pt idx="66">
                  <c:v>182833</c:v>
                </c:pt>
                <c:pt idx="67">
                  <c:v>180932</c:v>
                </c:pt>
                <c:pt idx="68">
                  <c:v>179819</c:v>
                </c:pt>
                <c:pt idx="69">
                  <c:v>180308</c:v>
                </c:pt>
                <c:pt idx="70">
                  <c:v>180333</c:v>
                </c:pt>
                <c:pt idx="71">
                  <c:v>176347</c:v>
                </c:pt>
                <c:pt idx="72">
                  <c:v>175777</c:v>
                </c:pt>
                <c:pt idx="73">
                  <c:v>174453</c:v>
                </c:pt>
                <c:pt idx="74">
                  <c:v>174481</c:v>
                </c:pt>
                <c:pt idx="75">
                  <c:v>178557</c:v>
                </c:pt>
                <c:pt idx="76">
                  <c:v>183301</c:v>
                </c:pt>
                <c:pt idx="77">
                  <c:v>188235</c:v>
                </c:pt>
                <c:pt idx="78">
                  <c:v>189627</c:v>
                </c:pt>
                <c:pt idx="79">
                  <c:v>187925</c:v>
                </c:pt>
                <c:pt idx="80">
                  <c:v>182690</c:v>
                </c:pt>
                <c:pt idx="81">
                  <c:v>176222</c:v>
                </c:pt>
                <c:pt idx="82">
                  <c:v>171747</c:v>
                </c:pt>
                <c:pt idx="83">
                  <c:v>163455</c:v>
                </c:pt>
                <c:pt idx="84">
                  <c:v>156073</c:v>
                </c:pt>
                <c:pt idx="85">
                  <c:v>153329</c:v>
                </c:pt>
                <c:pt idx="86">
                  <c:v>150278</c:v>
                </c:pt>
                <c:pt idx="87">
                  <c:v>155363</c:v>
                </c:pt>
                <c:pt idx="88">
                  <c:v>160660</c:v>
                </c:pt>
                <c:pt idx="89">
                  <c:v>166783</c:v>
                </c:pt>
                <c:pt idx="90">
                  <c:v>166935</c:v>
                </c:pt>
                <c:pt idx="91">
                  <c:v>166737</c:v>
                </c:pt>
                <c:pt idx="92">
                  <c:v>163575</c:v>
                </c:pt>
                <c:pt idx="93">
                  <c:v>165338</c:v>
                </c:pt>
                <c:pt idx="94">
                  <c:v>163477</c:v>
                </c:pt>
                <c:pt idx="95">
                  <c:v>158517</c:v>
                </c:pt>
                <c:pt idx="96">
                  <c:v>152488</c:v>
                </c:pt>
                <c:pt idx="97">
                  <c:v>151061</c:v>
                </c:pt>
                <c:pt idx="98">
                  <c:v>150276</c:v>
                </c:pt>
                <c:pt idx="99">
                  <c:v>151578</c:v>
                </c:pt>
                <c:pt idx="100">
                  <c:v>158411</c:v>
                </c:pt>
                <c:pt idx="101">
                  <c:v>161504</c:v>
                </c:pt>
                <c:pt idx="102">
                  <c:v>161228</c:v>
                </c:pt>
                <c:pt idx="103">
                  <c:v>159093</c:v>
                </c:pt>
                <c:pt idx="104">
                  <c:v>156617</c:v>
                </c:pt>
                <c:pt idx="105">
                  <c:v>155587</c:v>
                </c:pt>
                <c:pt idx="106">
                  <c:v>154243</c:v>
                </c:pt>
                <c:pt idx="107">
                  <c:v>150296</c:v>
                </c:pt>
                <c:pt idx="108">
                  <c:v>148386</c:v>
                </c:pt>
                <c:pt idx="109">
                  <c:v>147425</c:v>
                </c:pt>
                <c:pt idx="110">
                  <c:v>147396</c:v>
                </c:pt>
                <c:pt idx="111">
                  <c:v>149670</c:v>
                </c:pt>
                <c:pt idx="112">
                  <c:v>154856</c:v>
                </c:pt>
              </c:numCache>
            </c:numRef>
          </c:val>
          <c:smooth val="0"/>
          <c:extLst>
            <c:ext xmlns:c16="http://schemas.microsoft.com/office/drawing/2014/chart" uri="{C3380CC4-5D6E-409C-BE32-E72D297353CC}">
              <c16:uniqueId val="{00000000-AABE-41D3-9A4B-F927C285F1D9}"/>
            </c:ext>
          </c:extLst>
        </c:ser>
        <c:dLbls>
          <c:showLegendKey val="0"/>
          <c:showVal val="0"/>
          <c:showCatName val="0"/>
          <c:showSerName val="0"/>
          <c:showPercent val="0"/>
          <c:showBubbleSize val="0"/>
        </c:dLbls>
        <c:marker val="1"/>
        <c:smooth val="0"/>
        <c:axId val="187190392"/>
        <c:axId val="187188824"/>
      </c:lineChart>
      <c:dateAx>
        <c:axId val="187190392"/>
        <c:scaling>
          <c:orientation val="minMax"/>
          <c:max val="44256"/>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Fecha</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AR"/>
          </a:p>
        </c:txPr>
        <c:crossAx val="187188824"/>
        <c:crosses val="autoZero"/>
        <c:auto val="1"/>
        <c:lblOffset val="100"/>
        <c:baseTimeUnit val="months"/>
      </c:dateAx>
      <c:valAx>
        <c:axId val="187188824"/>
        <c:scaling>
          <c:orientation val="minMax"/>
          <c:min val="1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a:t>Stock de empleados registrados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AR"/>
          </a:p>
        </c:txPr>
        <c:crossAx val="1871903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91"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7</xdr:col>
      <xdr:colOff>511174</xdr:colOff>
      <xdr:row>0</xdr:row>
      <xdr:rowOff>164306</xdr:rowOff>
    </xdr:from>
    <xdr:to>
      <xdr:col>13</xdr:col>
      <xdr:colOff>393423</xdr:colOff>
      <xdr:row>2</xdr:row>
      <xdr:rowOff>19226</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16874" y="164306"/>
          <a:ext cx="6283049" cy="6245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9294725" cy="6070879"/>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0.11463</cdr:x>
      <cdr:y>0.93958</cdr:y>
    </cdr:from>
    <cdr:to>
      <cdr:x>0.96078</cdr:x>
      <cdr:y>0.99375</cdr:y>
    </cdr:to>
    <cdr:sp macro="" textlink="">
      <cdr:nvSpPr>
        <cdr:cNvPr id="3" name="CuadroTexto 2"/>
        <cdr:cNvSpPr txBox="1"/>
      </cdr:nvSpPr>
      <cdr:spPr>
        <a:xfrm xmlns:a="http://schemas.openxmlformats.org/drawingml/2006/main">
          <a:off x="991643" y="5884623"/>
          <a:ext cx="7319898" cy="33924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s-AR" sz="1100" b="1"/>
            <a:t>Fuente</a:t>
          </a:r>
          <a:r>
            <a:rPr lang="es-AR" sz="1100"/>
            <a:t>: Elaboración propia a partir de datos del AFIP.</a:t>
          </a: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2"/>
  <sheetViews>
    <sheetView tabSelected="1" zoomScale="90" zoomScaleNormal="90" workbookViewId="0">
      <pane xSplit="1" ySplit="4" topLeftCell="B18" activePane="bottomRight" state="frozen"/>
      <selection pane="topRight" activeCell="B1" sqref="B1"/>
      <selection pane="bottomLeft" activeCell="A5" sqref="A5"/>
      <selection pane="bottomRight" activeCell="A3" sqref="A3"/>
    </sheetView>
  </sheetViews>
  <sheetFormatPr baseColWidth="10" defaultColWidth="15.5546875" defaultRowHeight="14.4" x14ac:dyDescent="0.3"/>
  <cols>
    <col min="1" max="1" width="16.109375" style="8" customWidth="1"/>
    <col min="2" max="2" width="15.5546875" style="8"/>
    <col min="3" max="3" width="15.5546875" style="8" customWidth="1"/>
    <col min="4" max="5" width="15.5546875" style="8"/>
    <col min="6" max="6" width="17.88671875" style="8" customWidth="1"/>
    <col min="7" max="7" width="15.5546875" style="8"/>
    <col min="8" max="8" width="15.5546875" style="8" customWidth="1"/>
    <col min="9" max="16384" width="15.5546875" style="8"/>
  </cols>
  <sheetData>
    <row r="1" spans="1:15" ht="42.75" customHeight="1" x14ac:dyDescent="0.3">
      <c r="A1" s="1" t="s">
        <v>0</v>
      </c>
      <c r="B1" s="2"/>
      <c r="C1" s="3"/>
      <c r="D1" s="3"/>
      <c r="E1" s="3"/>
      <c r="F1" s="4"/>
      <c r="G1" s="5"/>
      <c r="H1" s="42"/>
      <c r="I1" s="42"/>
      <c r="J1" s="42"/>
      <c r="K1" s="6"/>
      <c r="L1" s="6"/>
      <c r="M1" s="6"/>
      <c r="N1" s="6"/>
      <c r="O1" s="7"/>
    </row>
    <row r="2" spans="1:15" ht="18" customHeight="1" x14ac:dyDescent="0.3">
      <c r="A2" s="9" t="s">
        <v>19</v>
      </c>
      <c r="B2" s="10"/>
      <c r="C2" s="11"/>
      <c r="D2" s="11"/>
      <c r="E2" s="11"/>
      <c r="F2" s="11"/>
      <c r="G2" s="11"/>
      <c r="H2" s="11"/>
      <c r="I2" s="11"/>
      <c r="J2" s="11"/>
      <c r="K2" s="11"/>
      <c r="L2" s="11"/>
      <c r="M2" s="11"/>
      <c r="N2" s="11"/>
      <c r="O2" s="12"/>
    </row>
    <row r="3" spans="1:15" ht="18.75" customHeight="1" x14ac:dyDescent="0.3">
      <c r="A3" s="13" t="s">
        <v>1</v>
      </c>
      <c r="B3" s="14"/>
      <c r="C3" s="15"/>
      <c r="D3" s="15"/>
      <c r="E3" s="15"/>
      <c r="F3" s="15"/>
      <c r="G3" s="15"/>
      <c r="H3" s="15"/>
      <c r="I3" s="15"/>
      <c r="J3" s="15"/>
      <c r="K3" s="15"/>
      <c r="L3" s="15"/>
      <c r="M3" s="15"/>
      <c r="N3" s="15"/>
      <c r="O3" s="16"/>
    </row>
    <row r="4" spans="1:15" ht="78" customHeight="1" x14ac:dyDescent="0.3">
      <c r="A4" s="17" t="s">
        <v>2</v>
      </c>
      <c r="B4" s="18" t="s">
        <v>3</v>
      </c>
      <c r="C4" s="18" t="s">
        <v>4</v>
      </c>
      <c r="D4" s="18" t="s">
        <v>5</v>
      </c>
      <c r="E4" s="18" t="s">
        <v>6</v>
      </c>
      <c r="F4" s="18" t="s">
        <v>7</v>
      </c>
      <c r="G4" s="18" t="s">
        <v>8</v>
      </c>
      <c r="H4" s="18" t="s">
        <v>9</v>
      </c>
      <c r="I4" s="18" t="s">
        <v>10</v>
      </c>
      <c r="J4" s="18" t="s">
        <v>11</v>
      </c>
      <c r="K4" s="18" t="s">
        <v>12</v>
      </c>
      <c r="L4" s="18" t="s">
        <v>13</v>
      </c>
      <c r="M4" s="18" t="s">
        <v>14</v>
      </c>
      <c r="N4" s="18" t="s">
        <v>15</v>
      </c>
      <c r="O4" s="18" t="s">
        <v>16</v>
      </c>
    </row>
    <row r="5" spans="1:15" x14ac:dyDescent="0.3">
      <c r="A5" s="19">
        <v>40878</v>
      </c>
      <c r="B5" s="20">
        <v>25292</v>
      </c>
      <c r="C5" s="20">
        <v>309</v>
      </c>
      <c r="D5" s="20">
        <v>25623</v>
      </c>
      <c r="E5" s="20">
        <v>1624</v>
      </c>
      <c r="F5" s="20">
        <v>13305</v>
      </c>
      <c r="G5" s="20">
        <v>31531</v>
      </c>
      <c r="H5" s="20">
        <v>5209</v>
      </c>
      <c r="I5" s="20">
        <v>11500</v>
      </c>
      <c r="J5" s="20">
        <v>3199</v>
      </c>
      <c r="K5" s="20">
        <v>19975</v>
      </c>
      <c r="L5" s="20">
        <v>18724</v>
      </c>
      <c r="M5" s="20">
        <v>7307</v>
      </c>
      <c r="N5" s="21">
        <v>163598</v>
      </c>
      <c r="O5" s="22"/>
    </row>
    <row r="6" spans="1:15" x14ac:dyDescent="0.3">
      <c r="A6" s="19">
        <v>40909</v>
      </c>
      <c r="B6" s="20">
        <v>27247</v>
      </c>
      <c r="C6" s="20">
        <v>342</v>
      </c>
      <c r="D6" s="20">
        <v>25664</v>
      </c>
      <c r="E6" s="20">
        <v>1630</v>
      </c>
      <c r="F6" s="20">
        <v>13339</v>
      </c>
      <c r="G6" s="20">
        <v>32271</v>
      </c>
      <c r="H6" s="20">
        <v>5002</v>
      </c>
      <c r="I6" s="20">
        <v>11369</v>
      </c>
      <c r="J6" s="20">
        <v>3198</v>
      </c>
      <c r="K6" s="20">
        <v>19972</v>
      </c>
      <c r="L6" s="20">
        <v>19079</v>
      </c>
      <c r="M6" s="20">
        <v>7353</v>
      </c>
      <c r="N6" s="21">
        <v>166466</v>
      </c>
      <c r="O6" s="23">
        <f>(N6/N5)-1</f>
        <v>1.7530776659861358E-2</v>
      </c>
    </row>
    <row r="7" spans="1:15" x14ac:dyDescent="0.3">
      <c r="A7" s="19">
        <v>40940</v>
      </c>
      <c r="B7" s="20">
        <v>28128</v>
      </c>
      <c r="C7" s="20">
        <v>354</v>
      </c>
      <c r="D7" s="20">
        <v>25729</v>
      </c>
      <c r="E7" s="20">
        <v>1627</v>
      </c>
      <c r="F7" s="20">
        <v>13418</v>
      </c>
      <c r="G7" s="20">
        <v>32331</v>
      </c>
      <c r="H7" s="20">
        <v>5071</v>
      </c>
      <c r="I7" s="20">
        <v>11450</v>
      </c>
      <c r="J7" s="20">
        <v>3203</v>
      </c>
      <c r="K7" s="20">
        <v>19631</v>
      </c>
      <c r="L7" s="20">
        <v>18914</v>
      </c>
      <c r="M7" s="20">
        <v>7406</v>
      </c>
      <c r="N7" s="21">
        <v>167262</v>
      </c>
      <c r="O7" s="23">
        <f t="shared" ref="O7:O70" si="0">(N7/N6)-1</f>
        <v>4.7817572357118365E-3</v>
      </c>
    </row>
    <row r="8" spans="1:15" x14ac:dyDescent="0.3">
      <c r="A8" s="19">
        <v>40969</v>
      </c>
      <c r="B8" s="20">
        <v>28688</v>
      </c>
      <c r="C8" s="20">
        <v>282</v>
      </c>
      <c r="D8" s="20">
        <v>25852</v>
      </c>
      <c r="E8" s="20">
        <v>1618</v>
      </c>
      <c r="F8" s="20">
        <v>13661</v>
      </c>
      <c r="G8" s="20">
        <v>32690</v>
      </c>
      <c r="H8" s="20">
        <v>5679</v>
      </c>
      <c r="I8" s="20">
        <v>11559</v>
      </c>
      <c r="J8" s="20">
        <v>3175</v>
      </c>
      <c r="K8" s="20">
        <v>19665</v>
      </c>
      <c r="L8" s="20">
        <v>19213</v>
      </c>
      <c r="M8" s="20">
        <v>7505</v>
      </c>
      <c r="N8" s="21">
        <v>169587</v>
      </c>
      <c r="O8" s="23">
        <f t="shared" si="0"/>
        <v>1.3900347957097159E-2</v>
      </c>
    </row>
    <row r="9" spans="1:15" x14ac:dyDescent="0.3">
      <c r="A9" s="19">
        <v>41000</v>
      </c>
      <c r="B9" s="20">
        <v>31466</v>
      </c>
      <c r="C9" s="20">
        <v>242</v>
      </c>
      <c r="D9" s="20">
        <v>26072</v>
      </c>
      <c r="E9" s="20">
        <v>1640</v>
      </c>
      <c r="F9" s="20">
        <v>13658</v>
      </c>
      <c r="G9" s="20">
        <v>32591</v>
      </c>
      <c r="H9" s="20">
        <v>5607</v>
      </c>
      <c r="I9" s="20">
        <v>11574</v>
      </c>
      <c r="J9" s="20">
        <v>3191</v>
      </c>
      <c r="K9" s="20">
        <v>19978</v>
      </c>
      <c r="L9" s="20">
        <v>19349</v>
      </c>
      <c r="M9" s="20">
        <v>7579</v>
      </c>
      <c r="N9" s="21">
        <v>172947</v>
      </c>
      <c r="O9" s="23">
        <f t="shared" si="0"/>
        <v>1.9812839427550522E-2</v>
      </c>
    </row>
    <row r="10" spans="1:15" x14ac:dyDescent="0.3">
      <c r="A10" s="19">
        <v>41030</v>
      </c>
      <c r="B10" s="20">
        <v>33899</v>
      </c>
      <c r="C10" s="20">
        <v>254</v>
      </c>
      <c r="D10" s="20">
        <v>26105</v>
      </c>
      <c r="E10" s="20">
        <v>1639</v>
      </c>
      <c r="F10" s="20">
        <v>13513</v>
      </c>
      <c r="G10" s="20">
        <v>32664</v>
      </c>
      <c r="H10" s="20">
        <v>5479</v>
      </c>
      <c r="I10" s="20">
        <v>11790</v>
      </c>
      <c r="J10" s="20">
        <v>3198</v>
      </c>
      <c r="K10" s="20">
        <v>21190</v>
      </c>
      <c r="L10" s="20">
        <v>19471</v>
      </c>
      <c r="M10" s="20">
        <v>7586</v>
      </c>
      <c r="N10" s="21">
        <v>176788</v>
      </c>
      <c r="O10" s="23">
        <f t="shared" si="0"/>
        <v>2.2209116087587466E-2</v>
      </c>
    </row>
    <row r="11" spans="1:15" x14ac:dyDescent="0.3">
      <c r="A11" s="19">
        <v>41061</v>
      </c>
      <c r="B11" s="20">
        <v>36744</v>
      </c>
      <c r="C11" s="20">
        <v>260</v>
      </c>
      <c r="D11" s="20">
        <v>26068</v>
      </c>
      <c r="E11" s="20">
        <v>1642</v>
      </c>
      <c r="F11" s="20">
        <v>13474</v>
      </c>
      <c r="G11" s="20">
        <v>32670</v>
      </c>
      <c r="H11" s="20">
        <v>5482</v>
      </c>
      <c r="I11" s="20">
        <v>11981</v>
      </c>
      <c r="J11" s="20">
        <v>3223</v>
      </c>
      <c r="K11" s="20">
        <v>21704</v>
      </c>
      <c r="L11" s="20">
        <v>19503</v>
      </c>
      <c r="M11" s="20">
        <v>7452</v>
      </c>
      <c r="N11" s="21">
        <v>180203</v>
      </c>
      <c r="O11" s="23">
        <f t="shared" si="0"/>
        <v>1.9316921963029143E-2</v>
      </c>
    </row>
    <row r="12" spans="1:15" x14ac:dyDescent="0.3">
      <c r="A12" s="19">
        <v>41091</v>
      </c>
      <c r="B12" s="20">
        <v>37451</v>
      </c>
      <c r="C12" s="20">
        <v>238</v>
      </c>
      <c r="D12" s="20">
        <v>26095</v>
      </c>
      <c r="E12" s="20">
        <v>1655</v>
      </c>
      <c r="F12" s="20">
        <v>13257</v>
      </c>
      <c r="G12" s="20">
        <v>32858</v>
      </c>
      <c r="H12" s="20">
        <v>5551</v>
      </c>
      <c r="I12" s="20">
        <v>12238</v>
      </c>
      <c r="J12" s="20">
        <v>3235</v>
      </c>
      <c r="K12" s="20">
        <v>21137</v>
      </c>
      <c r="L12" s="20">
        <v>19514</v>
      </c>
      <c r="M12" s="20">
        <v>7453</v>
      </c>
      <c r="N12" s="21">
        <v>180682</v>
      </c>
      <c r="O12" s="23">
        <f t="shared" si="0"/>
        <v>2.6581133499441467E-3</v>
      </c>
    </row>
    <row r="13" spans="1:15" x14ac:dyDescent="0.3">
      <c r="A13" s="19">
        <v>41122</v>
      </c>
      <c r="B13" s="20">
        <v>36052</v>
      </c>
      <c r="C13" s="20">
        <v>238</v>
      </c>
      <c r="D13" s="20">
        <v>25892</v>
      </c>
      <c r="E13" s="20">
        <v>1658</v>
      </c>
      <c r="F13" s="20">
        <v>13018</v>
      </c>
      <c r="G13" s="20">
        <v>32676</v>
      </c>
      <c r="H13" s="20">
        <v>5560</v>
      </c>
      <c r="I13" s="20">
        <v>12271</v>
      </c>
      <c r="J13" s="20">
        <v>3265</v>
      </c>
      <c r="K13" s="20">
        <v>20430</v>
      </c>
      <c r="L13" s="20">
        <v>19562</v>
      </c>
      <c r="M13" s="20">
        <v>7457</v>
      </c>
      <c r="N13" s="21">
        <v>178079</v>
      </c>
      <c r="O13" s="23">
        <f t="shared" si="0"/>
        <v>-1.44065263833697E-2</v>
      </c>
    </row>
    <row r="14" spans="1:15" x14ac:dyDescent="0.3">
      <c r="A14" s="19">
        <v>41153</v>
      </c>
      <c r="B14" s="20">
        <v>36864</v>
      </c>
      <c r="C14" s="20">
        <v>199</v>
      </c>
      <c r="D14" s="20">
        <v>25863</v>
      </c>
      <c r="E14" s="20">
        <v>1661</v>
      </c>
      <c r="F14" s="20">
        <v>12883</v>
      </c>
      <c r="G14" s="20">
        <v>32572</v>
      </c>
      <c r="H14" s="20">
        <v>5495</v>
      </c>
      <c r="I14" s="20">
        <v>12295</v>
      </c>
      <c r="J14" s="20">
        <v>3262</v>
      </c>
      <c r="K14" s="20">
        <v>19843</v>
      </c>
      <c r="L14" s="20">
        <v>19526</v>
      </c>
      <c r="M14" s="20">
        <v>7448</v>
      </c>
      <c r="N14" s="21">
        <v>177911</v>
      </c>
      <c r="O14" s="23">
        <f t="shared" si="0"/>
        <v>-9.4340152404270849E-4</v>
      </c>
    </row>
    <row r="15" spans="1:15" x14ac:dyDescent="0.3">
      <c r="A15" s="19">
        <v>41183</v>
      </c>
      <c r="B15" s="20">
        <v>37456</v>
      </c>
      <c r="C15" s="20">
        <v>137</v>
      </c>
      <c r="D15" s="20">
        <v>25526</v>
      </c>
      <c r="E15" s="20">
        <v>1683</v>
      </c>
      <c r="F15" s="20">
        <v>12835</v>
      </c>
      <c r="G15" s="20">
        <v>32706</v>
      </c>
      <c r="H15" s="20">
        <v>5537</v>
      </c>
      <c r="I15" s="20">
        <v>12129</v>
      </c>
      <c r="J15" s="20">
        <v>3244</v>
      </c>
      <c r="K15" s="20">
        <v>19663</v>
      </c>
      <c r="L15" s="20">
        <v>19524</v>
      </c>
      <c r="M15" s="20">
        <v>7389</v>
      </c>
      <c r="N15" s="21">
        <v>177829</v>
      </c>
      <c r="O15" s="23">
        <f t="shared" si="0"/>
        <v>-4.6090460960812596E-4</v>
      </c>
    </row>
    <row r="16" spans="1:15" x14ac:dyDescent="0.3">
      <c r="A16" s="19">
        <v>41214</v>
      </c>
      <c r="B16" s="20">
        <v>35257</v>
      </c>
      <c r="C16" s="20">
        <v>133</v>
      </c>
      <c r="D16" s="20">
        <v>25441</v>
      </c>
      <c r="E16" s="20">
        <v>1702</v>
      </c>
      <c r="F16" s="20">
        <v>12477</v>
      </c>
      <c r="G16" s="20">
        <v>33042</v>
      </c>
      <c r="H16" s="20">
        <v>5510</v>
      </c>
      <c r="I16" s="20">
        <v>12003</v>
      </c>
      <c r="J16" s="20">
        <v>3244</v>
      </c>
      <c r="K16" s="20">
        <v>19529</v>
      </c>
      <c r="L16" s="20">
        <v>19522</v>
      </c>
      <c r="M16" s="20">
        <v>7408</v>
      </c>
      <c r="N16" s="21">
        <v>175268</v>
      </c>
      <c r="O16" s="23">
        <f t="shared" si="0"/>
        <v>-1.4401475574849942E-2</v>
      </c>
    </row>
    <row r="17" spans="1:15" x14ac:dyDescent="0.3">
      <c r="A17" s="19">
        <v>41244</v>
      </c>
      <c r="B17" s="20">
        <v>32571</v>
      </c>
      <c r="C17" s="20">
        <v>127</v>
      </c>
      <c r="D17" s="20">
        <v>25564</v>
      </c>
      <c r="E17" s="20">
        <v>1708</v>
      </c>
      <c r="F17" s="20">
        <v>11791</v>
      </c>
      <c r="G17" s="20">
        <v>33497</v>
      </c>
      <c r="H17" s="20">
        <v>5564</v>
      </c>
      <c r="I17" s="20">
        <v>11931</v>
      </c>
      <c r="J17" s="20">
        <v>3249</v>
      </c>
      <c r="K17" s="20">
        <v>19753</v>
      </c>
      <c r="L17" s="20">
        <v>19294</v>
      </c>
      <c r="M17" s="20">
        <v>7527</v>
      </c>
      <c r="N17" s="21">
        <v>172576</v>
      </c>
      <c r="O17" s="23">
        <f t="shared" si="0"/>
        <v>-1.5359335417760245E-2</v>
      </c>
    </row>
    <row r="18" spans="1:15" x14ac:dyDescent="0.3">
      <c r="A18" s="19">
        <v>41275</v>
      </c>
      <c r="B18" s="20">
        <v>30563</v>
      </c>
      <c r="C18" s="20">
        <v>120</v>
      </c>
      <c r="D18" s="20">
        <v>25492</v>
      </c>
      <c r="E18" s="20">
        <v>1703</v>
      </c>
      <c r="F18" s="20">
        <v>11760</v>
      </c>
      <c r="G18" s="20">
        <v>33070</v>
      </c>
      <c r="H18" s="20">
        <v>5590</v>
      </c>
      <c r="I18" s="20">
        <v>11872</v>
      </c>
      <c r="J18" s="20">
        <v>3254</v>
      </c>
      <c r="K18" s="20">
        <v>19788</v>
      </c>
      <c r="L18" s="20">
        <v>19182</v>
      </c>
      <c r="M18" s="20">
        <v>7542</v>
      </c>
      <c r="N18" s="21">
        <v>169936</v>
      </c>
      <c r="O18" s="23">
        <f t="shared" si="0"/>
        <v>-1.5297608010383823E-2</v>
      </c>
    </row>
    <row r="19" spans="1:15" x14ac:dyDescent="0.3">
      <c r="A19" s="19">
        <v>41306</v>
      </c>
      <c r="B19" s="20">
        <v>27942</v>
      </c>
      <c r="C19" s="20">
        <v>136</v>
      </c>
      <c r="D19" s="20">
        <v>25314</v>
      </c>
      <c r="E19" s="20">
        <v>1715</v>
      </c>
      <c r="F19" s="20">
        <v>11689</v>
      </c>
      <c r="G19" s="20">
        <v>32921</v>
      </c>
      <c r="H19" s="20">
        <v>5473</v>
      </c>
      <c r="I19" s="20">
        <v>11869</v>
      </c>
      <c r="J19" s="20">
        <v>3245</v>
      </c>
      <c r="K19" s="20">
        <v>19656</v>
      </c>
      <c r="L19" s="20">
        <v>19592</v>
      </c>
      <c r="M19" s="20">
        <v>7564</v>
      </c>
      <c r="N19" s="21">
        <v>167116</v>
      </c>
      <c r="O19" s="23">
        <f t="shared" si="0"/>
        <v>-1.6594482628754403E-2</v>
      </c>
    </row>
    <row r="20" spans="1:15" x14ac:dyDescent="0.3">
      <c r="A20" s="19">
        <v>41334</v>
      </c>
      <c r="B20" s="20">
        <v>29736</v>
      </c>
      <c r="C20" s="20">
        <v>227</v>
      </c>
      <c r="D20" s="20">
        <v>25160</v>
      </c>
      <c r="E20" s="20">
        <v>1710</v>
      </c>
      <c r="F20" s="20">
        <v>11684</v>
      </c>
      <c r="G20" s="20">
        <v>32809</v>
      </c>
      <c r="H20" s="20">
        <v>5456</v>
      </c>
      <c r="I20" s="20">
        <v>11900</v>
      </c>
      <c r="J20" s="20">
        <v>3247</v>
      </c>
      <c r="K20" s="20">
        <v>19973</v>
      </c>
      <c r="L20" s="20">
        <v>19878</v>
      </c>
      <c r="M20" s="20">
        <v>7532</v>
      </c>
      <c r="N20" s="21">
        <v>169312</v>
      </c>
      <c r="O20" s="23">
        <f t="shared" si="0"/>
        <v>1.3140573015151258E-2</v>
      </c>
    </row>
    <row r="21" spans="1:15" x14ac:dyDescent="0.3">
      <c r="A21" s="19">
        <v>41365</v>
      </c>
      <c r="B21" s="20">
        <v>34211</v>
      </c>
      <c r="C21" s="20">
        <v>282</v>
      </c>
      <c r="D21" s="20">
        <v>25352</v>
      </c>
      <c r="E21" s="20">
        <v>1723</v>
      </c>
      <c r="F21" s="20">
        <v>11836</v>
      </c>
      <c r="G21" s="20">
        <v>33030</v>
      </c>
      <c r="H21" s="20">
        <v>5345</v>
      </c>
      <c r="I21" s="20">
        <v>11404</v>
      </c>
      <c r="J21" s="20">
        <v>3239</v>
      </c>
      <c r="K21" s="20">
        <v>20575</v>
      </c>
      <c r="L21" s="20">
        <v>20039</v>
      </c>
      <c r="M21" s="20">
        <v>7587</v>
      </c>
      <c r="N21" s="21">
        <v>174623</v>
      </c>
      <c r="O21" s="23">
        <f t="shared" si="0"/>
        <v>3.1368125118125034E-2</v>
      </c>
    </row>
    <row r="22" spans="1:15" x14ac:dyDescent="0.3">
      <c r="A22" s="19">
        <v>41395</v>
      </c>
      <c r="B22" s="20">
        <v>36387</v>
      </c>
      <c r="C22" s="20">
        <v>348</v>
      </c>
      <c r="D22" s="20">
        <v>25591</v>
      </c>
      <c r="E22" s="20">
        <v>1718</v>
      </c>
      <c r="F22" s="20">
        <v>11974</v>
      </c>
      <c r="G22" s="20">
        <v>33158</v>
      </c>
      <c r="H22" s="20">
        <v>5343</v>
      </c>
      <c r="I22" s="20">
        <v>11480</v>
      </c>
      <c r="J22" s="20">
        <v>3250</v>
      </c>
      <c r="K22" s="20">
        <v>20458</v>
      </c>
      <c r="L22" s="20">
        <v>20137</v>
      </c>
      <c r="M22" s="20">
        <v>7644</v>
      </c>
      <c r="N22" s="21">
        <v>177488</v>
      </c>
      <c r="O22" s="23">
        <f t="shared" si="0"/>
        <v>1.6406773449087364E-2</v>
      </c>
    </row>
    <row r="23" spans="1:15" x14ac:dyDescent="0.3">
      <c r="A23" s="19">
        <v>41426</v>
      </c>
      <c r="B23" s="20">
        <v>37678</v>
      </c>
      <c r="C23" s="20">
        <v>366</v>
      </c>
      <c r="D23" s="20">
        <v>25584</v>
      </c>
      <c r="E23" s="20">
        <v>1718</v>
      </c>
      <c r="F23" s="20">
        <v>12048</v>
      </c>
      <c r="G23" s="20">
        <v>33226</v>
      </c>
      <c r="H23" s="20">
        <v>5293</v>
      </c>
      <c r="I23" s="20">
        <v>11007</v>
      </c>
      <c r="J23" s="20">
        <v>3251</v>
      </c>
      <c r="K23" s="20">
        <v>20447</v>
      </c>
      <c r="L23" s="20">
        <v>20165</v>
      </c>
      <c r="M23" s="20">
        <v>7633</v>
      </c>
      <c r="N23" s="21">
        <v>178416</v>
      </c>
      <c r="O23" s="23">
        <f t="shared" si="0"/>
        <v>5.2285224916615025E-3</v>
      </c>
    </row>
    <row r="24" spans="1:15" x14ac:dyDescent="0.3">
      <c r="A24" s="19">
        <v>41456</v>
      </c>
      <c r="B24" s="20">
        <v>37991</v>
      </c>
      <c r="C24" s="20">
        <v>379</v>
      </c>
      <c r="D24" s="20">
        <v>25648</v>
      </c>
      <c r="E24" s="20">
        <v>1709</v>
      </c>
      <c r="F24" s="20">
        <v>12371</v>
      </c>
      <c r="G24" s="20">
        <v>33287</v>
      </c>
      <c r="H24" s="20">
        <v>5398</v>
      </c>
      <c r="I24" s="20">
        <v>10447</v>
      </c>
      <c r="J24" s="20">
        <v>3247</v>
      </c>
      <c r="K24" s="20">
        <v>20392</v>
      </c>
      <c r="L24" s="20">
        <v>20197</v>
      </c>
      <c r="M24" s="20">
        <v>7631</v>
      </c>
      <c r="N24" s="21">
        <v>178697</v>
      </c>
      <c r="O24" s="23">
        <f t="shared" si="0"/>
        <v>1.5749708546317631E-3</v>
      </c>
    </row>
    <row r="25" spans="1:15" x14ac:dyDescent="0.3">
      <c r="A25" s="19">
        <v>41487</v>
      </c>
      <c r="B25" s="20">
        <v>37227</v>
      </c>
      <c r="C25" s="20">
        <v>376</v>
      </c>
      <c r="D25" s="20">
        <v>25604</v>
      </c>
      <c r="E25" s="20">
        <v>1712</v>
      </c>
      <c r="F25" s="20">
        <v>12624</v>
      </c>
      <c r="G25" s="20">
        <v>33035</v>
      </c>
      <c r="H25" s="20">
        <v>5459</v>
      </c>
      <c r="I25" s="20">
        <v>8929</v>
      </c>
      <c r="J25" s="20">
        <v>3256</v>
      </c>
      <c r="K25" s="20">
        <v>20283</v>
      </c>
      <c r="L25" s="20">
        <v>20248</v>
      </c>
      <c r="M25" s="20">
        <v>7623</v>
      </c>
      <c r="N25" s="21">
        <v>176376</v>
      </c>
      <c r="O25" s="23">
        <f t="shared" si="0"/>
        <v>-1.2988466510349905E-2</v>
      </c>
    </row>
    <row r="26" spans="1:15" x14ac:dyDescent="0.3">
      <c r="A26" s="19">
        <v>41518</v>
      </c>
      <c r="B26" s="20">
        <v>36670</v>
      </c>
      <c r="C26" s="20">
        <v>342</v>
      </c>
      <c r="D26" s="20">
        <v>25582</v>
      </c>
      <c r="E26" s="20">
        <v>1700</v>
      </c>
      <c r="F26" s="20">
        <v>12852</v>
      </c>
      <c r="G26" s="20">
        <v>33089</v>
      </c>
      <c r="H26" s="20">
        <v>5484</v>
      </c>
      <c r="I26" s="20">
        <v>8892</v>
      </c>
      <c r="J26" s="20">
        <v>3263</v>
      </c>
      <c r="K26" s="20">
        <v>20254</v>
      </c>
      <c r="L26" s="20">
        <v>20322</v>
      </c>
      <c r="M26" s="20">
        <v>7621</v>
      </c>
      <c r="N26" s="21">
        <v>176071</v>
      </c>
      <c r="O26" s="23">
        <f t="shared" si="0"/>
        <v>-1.729260216809525E-3</v>
      </c>
    </row>
    <row r="27" spans="1:15" x14ac:dyDescent="0.3">
      <c r="A27" s="19">
        <v>41548</v>
      </c>
      <c r="B27" s="20">
        <v>35993</v>
      </c>
      <c r="C27" s="20">
        <v>301</v>
      </c>
      <c r="D27" s="20">
        <v>25451</v>
      </c>
      <c r="E27" s="20">
        <v>1703</v>
      </c>
      <c r="F27" s="20">
        <v>12685</v>
      </c>
      <c r="G27" s="20">
        <v>33281</v>
      </c>
      <c r="H27" s="20">
        <v>5494</v>
      </c>
      <c r="I27" s="20">
        <v>8664</v>
      </c>
      <c r="J27" s="20">
        <v>3255</v>
      </c>
      <c r="K27" s="20">
        <v>20295</v>
      </c>
      <c r="L27" s="20">
        <v>20386</v>
      </c>
      <c r="M27" s="20">
        <v>7647</v>
      </c>
      <c r="N27" s="21">
        <v>175155</v>
      </c>
      <c r="O27" s="23">
        <f t="shared" si="0"/>
        <v>-5.2024467402355112E-3</v>
      </c>
    </row>
    <row r="28" spans="1:15" x14ac:dyDescent="0.3">
      <c r="A28" s="19">
        <v>41579</v>
      </c>
      <c r="B28" s="20">
        <v>35498</v>
      </c>
      <c r="C28" s="20">
        <v>287</v>
      </c>
      <c r="D28" s="20">
        <v>25202</v>
      </c>
      <c r="E28" s="20">
        <v>1689</v>
      </c>
      <c r="F28" s="20">
        <v>12606</v>
      </c>
      <c r="G28" s="20">
        <v>33351</v>
      </c>
      <c r="H28" s="20">
        <v>5565</v>
      </c>
      <c r="I28" s="20">
        <v>8631</v>
      </c>
      <c r="J28" s="20">
        <v>3251</v>
      </c>
      <c r="K28" s="20">
        <v>20357</v>
      </c>
      <c r="L28" s="20">
        <v>20421</v>
      </c>
      <c r="M28" s="20">
        <v>7628</v>
      </c>
      <c r="N28" s="21">
        <v>174486</v>
      </c>
      <c r="O28" s="23">
        <f t="shared" si="0"/>
        <v>-3.8194741800119392E-3</v>
      </c>
    </row>
    <row r="29" spans="1:15" x14ac:dyDescent="0.3">
      <c r="A29" s="19">
        <v>41609</v>
      </c>
      <c r="B29" s="20">
        <v>34083</v>
      </c>
      <c r="C29" s="20">
        <v>285</v>
      </c>
      <c r="D29" s="20">
        <v>25217</v>
      </c>
      <c r="E29" s="20">
        <v>1701</v>
      </c>
      <c r="F29" s="20">
        <v>12236</v>
      </c>
      <c r="G29" s="20">
        <v>33489</v>
      </c>
      <c r="H29" s="20">
        <v>5560</v>
      </c>
      <c r="I29" s="20">
        <v>8516</v>
      </c>
      <c r="J29" s="20">
        <v>3257</v>
      </c>
      <c r="K29" s="20">
        <v>20446</v>
      </c>
      <c r="L29" s="20">
        <v>20226</v>
      </c>
      <c r="M29" s="20">
        <v>7720</v>
      </c>
      <c r="N29" s="21">
        <v>172736</v>
      </c>
      <c r="O29" s="23">
        <f t="shared" si="0"/>
        <v>-1.002945795078114E-2</v>
      </c>
    </row>
    <row r="30" spans="1:15" x14ac:dyDescent="0.3">
      <c r="A30" s="19">
        <v>41640</v>
      </c>
      <c r="B30" s="20">
        <v>33466</v>
      </c>
      <c r="C30" s="20">
        <v>298</v>
      </c>
      <c r="D30" s="20">
        <v>25194</v>
      </c>
      <c r="E30" s="20">
        <v>1716</v>
      </c>
      <c r="F30" s="20">
        <v>12100</v>
      </c>
      <c r="G30" s="20">
        <v>33209</v>
      </c>
      <c r="H30" s="20">
        <v>5622</v>
      </c>
      <c r="I30" s="20">
        <v>8539</v>
      </c>
      <c r="J30" s="20">
        <v>3273</v>
      </c>
      <c r="K30" s="20">
        <v>20465</v>
      </c>
      <c r="L30" s="20">
        <v>20088</v>
      </c>
      <c r="M30" s="20">
        <v>7709</v>
      </c>
      <c r="N30" s="21">
        <v>171679</v>
      </c>
      <c r="O30" s="23">
        <f t="shared" si="0"/>
        <v>-6.1191645053723098E-3</v>
      </c>
    </row>
    <row r="31" spans="1:15" x14ac:dyDescent="0.3">
      <c r="A31" s="19">
        <v>41671</v>
      </c>
      <c r="B31" s="20">
        <v>30140</v>
      </c>
      <c r="C31" s="20">
        <v>296</v>
      </c>
      <c r="D31" s="20">
        <v>25012</v>
      </c>
      <c r="E31" s="20">
        <v>1755</v>
      </c>
      <c r="F31" s="20">
        <v>12008</v>
      </c>
      <c r="G31" s="20">
        <v>33004</v>
      </c>
      <c r="H31" s="20">
        <v>5472</v>
      </c>
      <c r="I31" s="20">
        <v>8498</v>
      </c>
      <c r="J31" s="20">
        <v>3260</v>
      </c>
      <c r="K31" s="20">
        <v>20377</v>
      </c>
      <c r="L31" s="20">
        <v>20173</v>
      </c>
      <c r="M31" s="20">
        <v>7702</v>
      </c>
      <c r="N31" s="21">
        <v>167697</v>
      </c>
      <c r="O31" s="23">
        <f t="shared" si="0"/>
        <v>-2.3194450107468012E-2</v>
      </c>
    </row>
    <row r="32" spans="1:15" x14ac:dyDescent="0.3">
      <c r="A32" s="19">
        <v>41699</v>
      </c>
      <c r="B32" s="20">
        <v>29835</v>
      </c>
      <c r="C32" s="20">
        <v>314</v>
      </c>
      <c r="D32" s="20">
        <v>25072</v>
      </c>
      <c r="E32" s="20">
        <v>1758</v>
      </c>
      <c r="F32" s="20">
        <v>12130</v>
      </c>
      <c r="G32" s="20">
        <v>32905</v>
      </c>
      <c r="H32" s="20">
        <v>5420</v>
      </c>
      <c r="I32" s="20">
        <v>8584</v>
      </c>
      <c r="J32" s="20">
        <v>3278</v>
      </c>
      <c r="K32" s="20">
        <v>18882</v>
      </c>
      <c r="L32" s="20">
        <v>20382</v>
      </c>
      <c r="M32" s="20">
        <v>7663</v>
      </c>
      <c r="N32" s="21">
        <v>166223</v>
      </c>
      <c r="O32" s="23">
        <f t="shared" si="0"/>
        <v>-8.7896623076143543E-3</v>
      </c>
    </row>
    <row r="33" spans="1:15" x14ac:dyDescent="0.3">
      <c r="A33" s="19">
        <v>41730</v>
      </c>
      <c r="B33" s="20">
        <v>31638</v>
      </c>
      <c r="C33" s="20">
        <v>378</v>
      </c>
      <c r="D33" s="20">
        <v>25179</v>
      </c>
      <c r="E33" s="20">
        <v>1758</v>
      </c>
      <c r="F33" s="20">
        <v>11966</v>
      </c>
      <c r="G33" s="20">
        <v>32877</v>
      </c>
      <c r="H33" s="20">
        <v>5408</v>
      </c>
      <c r="I33" s="20">
        <v>8622</v>
      </c>
      <c r="J33" s="20">
        <v>3260</v>
      </c>
      <c r="K33" s="20">
        <v>19152</v>
      </c>
      <c r="L33" s="20">
        <v>20499</v>
      </c>
      <c r="M33" s="20">
        <v>7745</v>
      </c>
      <c r="N33" s="21">
        <v>168482</v>
      </c>
      <c r="O33" s="23">
        <f t="shared" si="0"/>
        <v>1.3590177051310492E-2</v>
      </c>
    </row>
    <row r="34" spans="1:15" x14ac:dyDescent="0.3">
      <c r="A34" s="19">
        <v>41760</v>
      </c>
      <c r="B34" s="20">
        <v>33466</v>
      </c>
      <c r="C34" s="20">
        <v>395</v>
      </c>
      <c r="D34" s="20">
        <v>25082</v>
      </c>
      <c r="E34" s="20">
        <v>1761</v>
      </c>
      <c r="F34" s="20">
        <v>11822</v>
      </c>
      <c r="G34" s="20">
        <v>32657</v>
      </c>
      <c r="H34" s="20">
        <v>5317</v>
      </c>
      <c r="I34" s="20">
        <v>8696</v>
      </c>
      <c r="J34" s="20">
        <v>3275</v>
      </c>
      <c r="K34" s="20">
        <v>19501</v>
      </c>
      <c r="L34" s="20">
        <v>20543</v>
      </c>
      <c r="M34" s="20">
        <v>7687</v>
      </c>
      <c r="N34" s="21">
        <v>170202</v>
      </c>
      <c r="O34" s="23">
        <f t="shared" si="0"/>
        <v>1.0208805688441513E-2</v>
      </c>
    </row>
    <row r="35" spans="1:15" x14ac:dyDescent="0.3">
      <c r="A35" s="19">
        <v>41791</v>
      </c>
      <c r="B35" s="20">
        <v>35275</v>
      </c>
      <c r="C35" s="20">
        <v>441</v>
      </c>
      <c r="D35" s="20">
        <v>24690</v>
      </c>
      <c r="E35" s="20">
        <v>1982</v>
      </c>
      <c r="F35" s="20">
        <v>11770</v>
      </c>
      <c r="G35" s="20">
        <v>32777</v>
      </c>
      <c r="H35" s="20">
        <v>5274</v>
      </c>
      <c r="I35" s="20">
        <v>8888</v>
      </c>
      <c r="J35" s="20">
        <v>3284</v>
      </c>
      <c r="K35" s="20">
        <v>19435</v>
      </c>
      <c r="L35" s="20">
        <v>20381</v>
      </c>
      <c r="M35" s="20">
        <v>7662</v>
      </c>
      <c r="N35" s="21">
        <v>171859</v>
      </c>
      <c r="O35" s="23">
        <f t="shared" si="0"/>
        <v>9.7354907697912996E-3</v>
      </c>
    </row>
    <row r="36" spans="1:15" x14ac:dyDescent="0.3">
      <c r="A36" s="19">
        <v>41821</v>
      </c>
      <c r="B36" s="20">
        <v>32515</v>
      </c>
      <c r="C36" s="20">
        <v>449</v>
      </c>
      <c r="D36" s="20">
        <v>24406</v>
      </c>
      <c r="E36" s="20">
        <v>2008</v>
      </c>
      <c r="F36" s="20">
        <v>11628</v>
      </c>
      <c r="G36" s="20">
        <v>32911</v>
      </c>
      <c r="H36" s="20">
        <v>5365</v>
      </c>
      <c r="I36" s="20">
        <v>9332</v>
      </c>
      <c r="J36" s="20">
        <v>3272</v>
      </c>
      <c r="K36" s="20">
        <v>20079</v>
      </c>
      <c r="L36" s="20">
        <v>20336</v>
      </c>
      <c r="M36" s="20">
        <v>7411</v>
      </c>
      <c r="N36" s="21">
        <v>169712</v>
      </c>
      <c r="O36" s="23">
        <f t="shared" si="0"/>
        <v>-1.2492799329683058E-2</v>
      </c>
    </row>
    <row r="37" spans="1:15" x14ac:dyDescent="0.3">
      <c r="A37" s="19">
        <v>41852</v>
      </c>
      <c r="B37" s="20">
        <v>32225</v>
      </c>
      <c r="C37" s="20">
        <v>469</v>
      </c>
      <c r="D37" s="20">
        <v>24200</v>
      </c>
      <c r="E37" s="20">
        <v>2057</v>
      </c>
      <c r="F37" s="20">
        <v>11797</v>
      </c>
      <c r="G37" s="20">
        <v>32529</v>
      </c>
      <c r="H37" s="20">
        <v>5433</v>
      </c>
      <c r="I37" s="20">
        <v>9307</v>
      </c>
      <c r="J37" s="20">
        <v>3272</v>
      </c>
      <c r="K37" s="20">
        <v>19917</v>
      </c>
      <c r="L37" s="20">
        <v>20386</v>
      </c>
      <c r="M37" s="20">
        <v>7333</v>
      </c>
      <c r="N37" s="21">
        <v>168925</v>
      </c>
      <c r="O37" s="23">
        <f t="shared" si="0"/>
        <v>-4.6372678419911439E-3</v>
      </c>
    </row>
    <row r="38" spans="1:15" x14ac:dyDescent="0.3">
      <c r="A38" s="19">
        <v>41883</v>
      </c>
      <c r="B38" s="20">
        <v>33517</v>
      </c>
      <c r="C38" s="20">
        <v>454</v>
      </c>
      <c r="D38" s="20">
        <v>24167</v>
      </c>
      <c r="E38" s="20">
        <v>2095</v>
      </c>
      <c r="F38" s="20">
        <v>11821</v>
      </c>
      <c r="G38" s="20">
        <v>32318</v>
      </c>
      <c r="H38" s="20">
        <v>5388</v>
      </c>
      <c r="I38" s="20">
        <v>9391</v>
      </c>
      <c r="J38" s="20">
        <v>3276</v>
      </c>
      <c r="K38" s="20">
        <v>19369</v>
      </c>
      <c r="L38" s="20">
        <v>20495</v>
      </c>
      <c r="M38" s="20">
        <v>7341</v>
      </c>
      <c r="N38" s="21">
        <v>169632</v>
      </c>
      <c r="O38" s="23">
        <f t="shared" si="0"/>
        <v>4.1852893295841742E-3</v>
      </c>
    </row>
    <row r="39" spans="1:15" x14ac:dyDescent="0.3">
      <c r="A39" s="19">
        <v>41913</v>
      </c>
      <c r="B39" s="20">
        <v>34495</v>
      </c>
      <c r="C39" s="20">
        <v>411</v>
      </c>
      <c r="D39" s="20">
        <v>23810</v>
      </c>
      <c r="E39" s="20">
        <v>2081</v>
      </c>
      <c r="F39" s="20">
        <v>11797</v>
      </c>
      <c r="G39" s="20">
        <v>31878</v>
      </c>
      <c r="H39" s="20">
        <v>5458</v>
      </c>
      <c r="I39" s="20">
        <v>9127</v>
      </c>
      <c r="J39" s="20">
        <v>3285</v>
      </c>
      <c r="K39" s="20">
        <v>19604</v>
      </c>
      <c r="L39" s="20">
        <v>20410</v>
      </c>
      <c r="M39" s="20">
        <v>7107</v>
      </c>
      <c r="N39" s="21">
        <v>169463</v>
      </c>
      <c r="O39" s="23">
        <f t="shared" si="0"/>
        <v>-9.9627428787019134E-4</v>
      </c>
    </row>
    <row r="40" spans="1:15" x14ac:dyDescent="0.3">
      <c r="A40" s="19">
        <v>41944</v>
      </c>
      <c r="B40" s="20">
        <v>34658</v>
      </c>
      <c r="C40" s="20">
        <v>379</v>
      </c>
      <c r="D40" s="20">
        <v>23591</v>
      </c>
      <c r="E40" s="20">
        <v>2035</v>
      </c>
      <c r="F40" s="20">
        <v>11867</v>
      </c>
      <c r="G40" s="20">
        <v>31814</v>
      </c>
      <c r="H40" s="20">
        <v>4848</v>
      </c>
      <c r="I40" s="20">
        <v>8887</v>
      </c>
      <c r="J40" s="20">
        <v>3282</v>
      </c>
      <c r="K40" s="20">
        <v>20497</v>
      </c>
      <c r="L40" s="20">
        <v>20367</v>
      </c>
      <c r="M40" s="20">
        <v>7138</v>
      </c>
      <c r="N40" s="21">
        <v>169363</v>
      </c>
      <c r="O40" s="23">
        <f t="shared" si="0"/>
        <v>-5.900993137144539E-4</v>
      </c>
    </row>
    <row r="41" spans="1:15" x14ac:dyDescent="0.3">
      <c r="A41" s="19">
        <v>41974</v>
      </c>
      <c r="B41" s="20">
        <v>29903</v>
      </c>
      <c r="C41" s="20">
        <v>374</v>
      </c>
      <c r="D41" s="20">
        <v>23506</v>
      </c>
      <c r="E41" s="20">
        <v>2017</v>
      </c>
      <c r="F41" s="20">
        <v>11333</v>
      </c>
      <c r="G41" s="20">
        <v>32103</v>
      </c>
      <c r="H41" s="20">
        <v>5092</v>
      </c>
      <c r="I41" s="20">
        <v>8770</v>
      </c>
      <c r="J41" s="20">
        <v>3285</v>
      </c>
      <c r="K41" s="20">
        <v>20503</v>
      </c>
      <c r="L41" s="20">
        <v>20186</v>
      </c>
      <c r="M41" s="20">
        <v>7160</v>
      </c>
      <c r="N41" s="21">
        <v>164232</v>
      </c>
      <c r="O41" s="23">
        <f t="shared" si="0"/>
        <v>-3.0295873360769443E-2</v>
      </c>
    </row>
    <row r="42" spans="1:15" x14ac:dyDescent="0.3">
      <c r="A42" s="19">
        <v>42005</v>
      </c>
      <c r="B42" s="20">
        <v>29170</v>
      </c>
      <c r="C42" s="20">
        <v>362</v>
      </c>
      <c r="D42" s="20">
        <v>23544</v>
      </c>
      <c r="E42" s="20">
        <v>2009</v>
      </c>
      <c r="F42" s="20">
        <v>11374</v>
      </c>
      <c r="G42" s="20">
        <v>31894</v>
      </c>
      <c r="H42" s="20">
        <v>5271</v>
      </c>
      <c r="I42" s="20">
        <v>8719</v>
      </c>
      <c r="J42" s="20">
        <v>3279</v>
      </c>
      <c r="K42" s="20">
        <v>20494</v>
      </c>
      <c r="L42" s="20">
        <v>20070</v>
      </c>
      <c r="M42" s="20">
        <v>7042</v>
      </c>
      <c r="N42" s="21">
        <v>163228</v>
      </c>
      <c r="O42" s="23">
        <f t="shared" si="0"/>
        <v>-6.1133031321545239E-3</v>
      </c>
    </row>
    <row r="43" spans="1:15" x14ac:dyDescent="0.3">
      <c r="A43" s="19">
        <v>42036</v>
      </c>
      <c r="B43" s="20">
        <v>29294</v>
      </c>
      <c r="C43" s="20">
        <v>356</v>
      </c>
      <c r="D43" s="20">
        <v>23439</v>
      </c>
      <c r="E43" s="20">
        <v>2053</v>
      </c>
      <c r="F43" s="20">
        <v>11401</v>
      </c>
      <c r="G43" s="20">
        <v>31748</v>
      </c>
      <c r="H43" s="20">
        <v>5671</v>
      </c>
      <c r="I43" s="20">
        <v>8546</v>
      </c>
      <c r="J43" s="20">
        <v>3275</v>
      </c>
      <c r="K43" s="20">
        <v>20504</v>
      </c>
      <c r="L43" s="20">
        <v>20076</v>
      </c>
      <c r="M43" s="20">
        <v>6962</v>
      </c>
      <c r="N43" s="21">
        <v>163325</v>
      </c>
      <c r="O43" s="23">
        <f t="shared" si="0"/>
        <v>5.9426078859026177E-4</v>
      </c>
    </row>
    <row r="44" spans="1:15" x14ac:dyDescent="0.3">
      <c r="A44" s="19">
        <v>42064</v>
      </c>
      <c r="B44" s="20">
        <v>28268</v>
      </c>
      <c r="C44" s="20">
        <v>364</v>
      </c>
      <c r="D44" s="20">
        <v>23689</v>
      </c>
      <c r="E44" s="20">
        <v>2102</v>
      </c>
      <c r="F44" s="20">
        <v>11247</v>
      </c>
      <c r="G44" s="20">
        <v>31518</v>
      </c>
      <c r="H44" s="20">
        <v>5439</v>
      </c>
      <c r="I44" s="20">
        <v>8548</v>
      </c>
      <c r="J44" s="20">
        <v>3268</v>
      </c>
      <c r="K44" s="20">
        <v>20490</v>
      </c>
      <c r="L44" s="20">
        <v>20318</v>
      </c>
      <c r="M44" s="20">
        <v>6991</v>
      </c>
      <c r="N44" s="21">
        <v>162242</v>
      </c>
      <c r="O44" s="23">
        <f t="shared" si="0"/>
        <v>-6.6309505587019979E-3</v>
      </c>
    </row>
    <row r="45" spans="1:15" x14ac:dyDescent="0.3">
      <c r="A45" s="19">
        <v>42095</v>
      </c>
      <c r="B45" s="20">
        <v>30359</v>
      </c>
      <c r="C45" s="20">
        <v>401</v>
      </c>
      <c r="D45" s="20">
        <v>23884</v>
      </c>
      <c r="E45" s="20">
        <v>2256</v>
      </c>
      <c r="F45" s="20">
        <v>11150</v>
      </c>
      <c r="G45" s="20">
        <v>31621</v>
      </c>
      <c r="H45" s="20">
        <v>5939</v>
      </c>
      <c r="I45" s="20">
        <v>8643</v>
      </c>
      <c r="J45" s="20">
        <v>3269</v>
      </c>
      <c r="K45" s="20">
        <v>20498</v>
      </c>
      <c r="L45" s="20">
        <v>20471</v>
      </c>
      <c r="M45" s="20">
        <v>6985</v>
      </c>
      <c r="N45" s="21">
        <v>165476</v>
      </c>
      <c r="O45" s="23">
        <f t="shared" si="0"/>
        <v>1.9933186227980348E-2</v>
      </c>
    </row>
    <row r="46" spans="1:15" x14ac:dyDescent="0.3">
      <c r="A46" s="19">
        <v>42125</v>
      </c>
      <c r="B46" s="20">
        <v>30129</v>
      </c>
      <c r="C46" s="20">
        <v>378</v>
      </c>
      <c r="D46" s="20">
        <v>24174</v>
      </c>
      <c r="E46" s="20">
        <v>2305</v>
      </c>
      <c r="F46" s="20">
        <v>11369</v>
      </c>
      <c r="G46" s="20">
        <v>31895</v>
      </c>
      <c r="H46" s="20">
        <v>5636</v>
      </c>
      <c r="I46" s="20">
        <v>8686</v>
      </c>
      <c r="J46" s="20">
        <v>3249</v>
      </c>
      <c r="K46" s="20">
        <v>20498</v>
      </c>
      <c r="L46" s="20">
        <v>20168</v>
      </c>
      <c r="M46" s="20">
        <v>6944</v>
      </c>
      <c r="N46" s="21">
        <v>165431</v>
      </c>
      <c r="O46" s="23">
        <f t="shared" si="0"/>
        <v>-2.7194275907083121E-4</v>
      </c>
    </row>
    <row r="47" spans="1:15" x14ac:dyDescent="0.3">
      <c r="A47" s="19">
        <v>42156</v>
      </c>
      <c r="B47" s="20">
        <v>32622</v>
      </c>
      <c r="C47" s="20">
        <v>662</v>
      </c>
      <c r="D47" s="20">
        <v>24350</v>
      </c>
      <c r="E47" s="20">
        <v>2323</v>
      </c>
      <c r="F47" s="20">
        <v>11504</v>
      </c>
      <c r="G47" s="20">
        <v>32005</v>
      </c>
      <c r="H47" s="20">
        <v>5859</v>
      </c>
      <c r="I47" s="20">
        <v>8933</v>
      </c>
      <c r="J47" s="20">
        <v>3262</v>
      </c>
      <c r="K47" s="20">
        <v>20514</v>
      </c>
      <c r="L47" s="20">
        <v>20088</v>
      </c>
      <c r="M47" s="20">
        <v>6968</v>
      </c>
      <c r="N47" s="21">
        <v>169090</v>
      </c>
      <c r="O47" s="23">
        <f t="shared" si="0"/>
        <v>2.2117982723915075E-2</v>
      </c>
    </row>
    <row r="48" spans="1:15" x14ac:dyDescent="0.3">
      <c r="A48" s="19">
        <v>42186</v>
      </c>
      <c r="B48" s="20">
        <v>33709</v>
      </c>
      <c r="C48" s="20">
        <v>855</v>
      </c>
      <c r="D48" s="20">
        <v>24115</v>
      </c>
      <c r="E48" s="20">
        <v>2478</v>
      </c>
      <c r="F48" s="20">
        <v>11561</v>
      </c>
      <c r="G48" s="20">
        <v>31909</v>
      </c>
      <c r="H48" s="20">
        <v>5459</v>
      </c>
      <c r="I48" s="20">
        <v>9180</v>
      </c>
      <c r="J48" s="20">
        <v>3266</v>
      </c>
      <c r="K48" s="20">
        <v>20539</v>
      </c>
      <c r="L48" s="20">
        <v>20154</v>
      </c>
      <c r="M48" s="20">
        <v>6971</v>
      </c>
      <c r="N48" s="21">
        <v>170196</v>
      </c>
      <c r="O48" s="23">
        <f t="shared" si="0"/>
        <v>6.5408953811578741E-3</v>
      </c>
    </row>
    <row r="49" spans="1:15" x14ac:dyDescent="0.3">
      <c r="A49" s="19">
        <v>42217</v>
      </c>
      <c r="B49" s="20">
        <v>32523</v>
      </c>
      <c r="C49" s="20">
        <v>841</v>
      </c>
      <c r="D49" s="20">
        <v>24021</v>
      </c>
      <c r="E49" s="20">
        <v>2509</v>
      </c>
      <c r="F49" s="20">
        <v>11350</v>
      </c>
      <c r="G49" s="20">
        <v>31928</v>
      </c>
      <c r="H49" s="20">
        <v>5366</v>
      </c>
      <c r="I49" s="20">
        <v>9206</v>
      </c>
      <c r="J49" s="20">
        <v>3250</v>
      </c>
      <c r="K49" s="20">
        <v>20430</v>
      </c>
      <c r="L49" s="20">
        <v>20221</v>
      </c>
      <c r="M49" s="20">
        <v>6909</v>
      </c>
      <c r="N49" s="21">
        <v>168554</v>
      </c>
      <c r="O49" s="23">
        <f t="shared" si="0"/>
        <v>-9.6477002984793891E-3</v>
      </c>
    </row>
    <row r="50" spans="1:15" x14ac:dyDescent="0.3">
      <c r="A50" s="19">
        <v>42248</v>
      </c>
      <c r="B50" s="20">
        <v>32709</v>
      </c>
      <c r="C50" s="20">
        <v>848</v>
      </c>
      <c r="D50" s="20">
        <v>23584</v>
      </c>
      <c r="E50" s="20">
        <v>2502</v>
      </c>
      <c r="F50" s="20">
        <v>11246</v>
      </c>
      <c r="G50" s="20">
        <v>31808</v>
      </c>
      <c r="H50" s="20">
        <v>5361</v>
      </c>
      <c r="I50" s="20">
        <v>9177</v>
      </c>
      <c r="J50" s="20">
        <v>3207</v>
      </c>
      <c r="K50" s="20">
        <v>20068</v>
      </c>
      <c r="L50" s="20">
        <v>20358</v>
      </c>
      <c r="M50" s="20">
        <v>6807</v>
      </c>
      <c r="N50" s="21">
        <v>167675</v>
      </c>
      <c r="O50" s="23">
        <f t="shared" si="0"/>
        <v>-5.2149459520390851E-3</v>
      </c>
    </row>
    <row r="51" spans="1:15" x14ac:dyDescent="0.3">
      <c r="A51" s="19">
        <v>42278</v>
      </c>
      <c r="B51" s="20">
        <v>32367</v>
      </c>
      <c r="C51" s="20">
        <v>881</v>
      </c>
      <c r="D51" s="20">
        <v>23626</v>
      </c>
      <c r="E51" s="20">
        <v>2475</v>
      </c>
      <c r="F51" s="20">
        <v>10956</v>
      </c>
      <c r="G51" s="20">
        <v>31896</v>
      </c>
      <c r="H51" s="20">
        <v>5330</v>
      </c>
      <c r="I51" s="20">
        <v>9017</v>
      </c>
      <c r="J51" s="20">
        <v>3242</v>
      </c>
      <c r="K51" s="20">
        <v>20058</v>
      </c>
      <c r="L51" s="20">
        <v>20365</v>
      </c>
      <c r="M51" s="20">
        <v>6806</v>
      </c>
      <c r="N51" s="21">
        <v>167019</v>
      </c>
      <c r="O51" s="23">
        <f t="shared" si="0"/>
        <v>-3.9123304010735271E-3</v>
      </c>
    </row>
    <row r="52" spans="1:15" x14ac:dyDescent="0.3">
      <c r="A52" s="19">
        <v>42309</v>
      </c>
      <c r="B52" s="20">
        <v>30624</v>
      </c>
      <c r="C52" s="20">
        <v>858</v>
      </c>
      <c r="D52" s="20">
        <v>23691</v>
      </c>
      <c r="E52" s="20">
        <v>2429</v>
      </c>
      <c r="F52" s="20">
        <v>10765</v>
      </c>
      <c r="G52" s="20">
        <v>31912</v>
      </c>
      <c r="H52" s="20">
        <v>5337</v>
      </c>
      <c r="I52" s="20">
        <v>8907</v>
      </c>
      <c r="J52" s="20">
        <v>3243</v>
      </c>
      <c r="K52" s="20">
        <v>19746</v>
      </c>
      <c r="L52" s="20">
        <v>20432</v>
      </c>
      <c r="M52" s="20">
        <v>6814</v>
      </c>
      <c r="N52" s="21">
        <v>164758</v>
      </c>
      <c r="O52" s="23">
        <f t="shared" si="0"/>
        <v>-1.3537381974505935E-2</v>
      </c>
    </row>
    <row r="53" spans="1:15" x14ac:dyDescent="0.3">
      <c r="A53" s="19">
        <v>42339</v>
      </c>
      <c r="B53" s="20">
        <v>28947</v>
      </c>
      <c r="C53" s="20">
        <v>865</v>
      </c>
      <c r="D53" s="20">
        <v>23264</v>
      </c>
      <c r="E53" s="20">
        <v>2421</v>
      </c>
      <c r="F53" s="20">
        <v>10612</v>
      </c>
      <c r="G53" s="20">
        <v>32180</v>
      </c>
      <c r="H53" s="20">
        <v>5317</v>
      </c>
      <c r="I53" s="20">
        <v>8756</v>
      </c>
      <c r="J53" s="20">
        <v>3245</v>
      </c>
      <c r="K53" s="20">
        <v>19788</v>
      </c>
      <c r="L53" s="20">
        <v>20193</v>
      </c>
      <c r="M53" s="20">
        <v>6805</v>
      </c>
      <c r="N53" s="21">
        <v>162393</v>
      </c>
      <c r="O53" s="23">
        <f t="shared" si="0"/>
        <v>-1.4354386433435673E-2</v>
      </c>
    </row>
    <row r="54" spans="1:15" x14ac:dyDescent="0.3">
      <c r="A54" s="19">
        <v>42370</v>
      </c>
      <c r="B54" s="20">
        <v>28146</v>
      </c>
      <c r="C54" s="20">
        <v>854</v>
      </c>
      <c r="D54" s="20">
        <v>23085</v>
      </c>
      <c r="E54" s="20">
        <v>2473</v>
      </c>
      <c r="F54" s="20">
        <v>10346</v>
      </c>
      <c r="G54" s="20">
        <v>31860</v>
      </c>
      <c r="H54" s="20">
        <v>5348</v>
      </c>
      <c r="I54" s="20">
        <v>8720</v>
      </c>
      <c r="J54" s="20">
        <v>3263</v>
      </c>
      <c r="K54" s="20">
        <v>18362</v>
      </c>
      <c r="L54" s="20">
        <v>20040</v>
      </c>
      <c r="M54" s="20">
        <v>6753</v>
      </c>
      <c r="N54" s="21">
        <v>159250</v>
      </c>
      <c r="O54" s="23">
        <f t="shared" si="0"/>
        <v>-1.9354282512177301E-2</v>
      </c>
    </row>
    <row r="55" spans="1:15" x14ac:dyDescent="0.3">
      <c r="A55" s="19">
        <v>42401</v>
      </c>
      <c r="B55" s="20">
        <v>27882</v>
      </c>
      <c r="C55" s="20">
        <v>844</v>
      </c>
      <c r="D55" s="20">
        <v>22797</v>
      </c>
      <c r="E55" s="20">
        <v>2484</v>
      </c>
      <c r="F55" s="20">
        <v>10187</v>
      </c>
      <c r="G55" s="20">
        <v>31714</v>
      </c>
      <c r="H55" s="20">
        <v>5217</v>
      </c>
      <c r="I55" s="20">
        <v>8665</v>
      </c>
      <c r="J55" s="20">
        <v>3284</v>
      </c>
      <c r="K55" s="20">
        <v>18203</v>
      </c>
      <c r="L55" s="20">
        <v>20219</v>
      </c>
      <c r="M55" s="20">
        <v>6724</v>
      </c>
      <c r="N55" s="21">
        <v>158220</v>
      </c>
      <c r="O55" s="23">
        <f t="shared" si="0"/>
        <v>-6.467817896389283E-3</v>
      </c>
    </row>
    <row r="56" spans="1:15" x14ac:dyDescent="0.3">
      <c r="A56" s="19">
        <v>42430</v>
      </c>
      <c r="B56" s="20">
        <v>31517</v>
      </c>
      <c r="C56" s="20">
        <v>1006</v>
      </c>
      <c r="D56" s="20">
        <v>22813</v>
      </c>
      <c r="E56" s="20">
        <v>2523</v>
      </c>
      <c r="F56" s="20">
        <v>9987</v>
      </c>
      <c r="G56" s="20">
        <v>31624</v>
      </c>
      <c r="H56" s="20">
        <v>5247</v>
      </c>
      <c r="I56" s="20">
        <v>8625</v>
      </c>
      <c r="J56" s="20">
        <v>3269</v>
      </c>
      <c r="K56" s="20">
        <v>18338</v>
      </c>
      <c r="L56" s="20">
        <v>20596</v>
      </c>
      <c r="M56" s="20">
        <v>6756</v>
      </c>
      <c r="N56" s="21">
        <v>162301</v>
      </c>
      <c r="O56" s="23">
        <f t="shared" si="0"/>
        <v>2.5793199342687423E-2</v>
      </c>
    </row>
    <row r="57" spans="1:15" x14ac:dyDescent="0.3">
      <c r="A57" s="19">
        <v>42461</v>
      </c>
      <c r="B57" s="20">
        <v>35429</v>
      </c>
      <c r="C57" s="20">
        <v>1434</v>
      </c>
      <c r="D57" s="20">
        <v>22751</v>
      </c>
      <c r="E57" s="20">
        <v>2526</v>
      </c>
      <c r="F57" s="20">
        <v>9848</v>
      </c>
      <c r="G57" s="20">
        <v>31682</v>
      </c>
      <c r="H57" s="20">
        <v>5195</v>
      </c>
      <c r="I57" s="20">
        <v>8668</v>
      </c>
      <c r="J57" s="20">
        <v>3300</v>
      </c>
      <c r="K57" s="20">
        <v>18817</v>
      </c>
      <c r="L57" s="20">
        <v>20799</v>
      </c>
      <c r="M57" s="20">
        <v>6738</v>
      </c>
      <c r="N57" s="21">
        <v>167187</v>
      </c>
      <c r="O57" s="23">
        <f t="shared" si="0"/>
        <v>3.0104558813562443E-2</v>
      </c>
    </row>
    <row r="58" spans="1:15" x14ac:dyDescent="0.3">
      <c r="A58" s="19">
        <v>42491</v>
      </c>
      <c r="B58" s="20">
        <v>38077</v>
      </c>
      <c r="C58" s="20">
        <v>1566</v>
      </c>
      <c r="D58" s="20">
        <v>23045</v>
      </c>
      <c r="E58" s="20">
        <v>2531</v>
      </c>
      <c r="F58" s="20">
        <v>9804</v>
      </c>
      <c r="G58" s="20">
        <v>31655</v>
      </c>
      <c r="H58" s="20">
        <v>5166</v>
      </c>
      <c r="I58" s="20">
        <v>8810</v>
      </c>
      <c r="J58" s="20">
        <v>3301</v>
      </c>
      <c r="K58" s="20">
        <v>18817</v>
      </c>
      <c r="L58" s="20">
        <v>20905</v>
      </c>
      <c r="M58" s="20">
        <v>6801</v>
      </c>
      <c r="N58" s="21">
        <v>170478</v>
      </c>
      <c r="O58" s="23">
        <f t="shared" si="0"/>
        <v>1.9684544850975261E-2</v>
      </c>
    </row>
    <row r="59" spans="1:15" x14ac:dyDescent="0.3">
      <c r="A59" s="19">
        <v>42522</v>
      </c>
      <c r="B59" s="20">
        <v>40456</v>
      </c>
      <c r="C59" s="20">
        <v>1773</v>
      </c>
      <c r="D59" s="20">
        <v>23121</v>
      </c>
      <c r="E59" s="20">
        <v>2670</v>
      </c>
      <c r="F59" s="20">
        <v>9771</v>
      </c>
      <c r="G59" s="20">
        <v>31782</v>
      </c>
      <c r="H59" s="20">
        <v>5124</v>
      </c>
      <c r="I59" s="20">
        <v>8913</v>
      </c>
      <c r="J59" s="20">
        <v>3314</v>
      </c>
      <c r="K59" s="20">
        <v>18865</v>
      </c>
      <c r="L59" s="20">
        <v>20997</v>
      </c>
      <c r="M59" s="20">
        <v>6837</v>
      </c>
      <c r="N59" s="21">
        <v>173623</v>
      </c>
      <c r="O59" s="23">
        <f t="shared" si="0"/>
        <v>1.84481282042257E-2</v>
      </c>
    </row>
    <row r="60" spans="1:15" x14ac:dyDescent="0.3">
      <c r="A60" s="19">
        <v>42552</v>
      </c>
      <c r="B60" s="20">
        <v>41670</v>
      </c>
      <c r="C60" s="20">
        <v>1810</v>
      </c>
      <c r="D60" s="20">
        <v>23196</v>
      </c>
      <c r="E60" s="20">
        <v>2761</v>
      </c>
      <c r="F60" s="20">
        <v>9662</v>
      </c>
      <c r="G60" s="20">
        <v>31690</v>
      </c>
      <c r="H60" s="20">
        <v>5102</v>
      </c>
      <c r="I60" s="20">
        <v>9050</v>
      </c>
      <c r="J60" s="20">
        <v>3288</v>
      </c>
      <c r="K60" s="20">
        <v>18837</v>
      </c>
      <c r="L60" s="20">
        <v>20975</v>
      </c>
      <c r="M60" s="20">
        <v>6823</v>
      </c>
      <c r="N60" s="21">
        <v>174864</v>
      </c>
      <c r="O60" s="23">
        <f t="shared" si="0"/>
        <v>7.1476705275221875E-3</v>
      </c>
    </row>
    <row r="61" spans="1:15" x14ac:dyDescent="0.3">
      <c r="A61" s="19">
        <v>42583</v>
      </c>
      <c r="B61" s="20">
        <v>36260</v>
      </c>
      <c r="C61" s="20">
        <v>1739</v>
      </c>
      <c r="D61" s="20">
        <v>22916</v>
      </c>
      <c r="E61" s="20">
        <v>2817</v>
      </c>
      <c r="F61" s="20">
        <v>9709</v>
      </c>
      <c r="G61" s="20">
        <v>31404</v>
      </c>
      <c r="H61" s="20">
        <v>5091</v>
      </c>
      <c r="I61" s="20">
        <v>9042</v>
      </c>
      <c r="J61" s="20">
        <v>3323</v>
      </c>
      <c r="K61" s="20">
        <v>18285</v>
      </c>
      <c r="L61" s="20">
        <v>21085</v>
      </c>
      <c r="M61" s="20">
        <v>6806</v>
      </c>
      <c r="N61" s="21">
        <v>168477</v>
      </c>
      <c r="O61" s="23">
        <f t="shared" si="0"/>
        <v>-3.6525528410650598E-2</v>
      </c>
    </row>
    <row r="62" spans="1:15" x14ac:dyDescent="0.3">
      <c r="A62" s="19">
        <v>42614</v>
      </c>
      <c r="B62" s="20">
        <v>37271</v>
      </c>
      <c r="C62" s="20">
        <v>1747</v>
      </c>
      <c r="D62" s="20">
        <v>23111</v>
      </c>
      <c r="E62" s="20">
        <v>2930</v>
      </c>
      <c r="F62" s="20">
        <v>9648</v>
      </c>
      <c r="G62" s="20">
        <v>31373</v>
      </c>
      <c r="H62" s="20">
        <v>5066</v>
      </c>
      <c r="I62" s="20">
        <v>9095</v>
      </c>
      <c r="J62" s="20">
        <v>3327</v>
      </c>
      <c r="K62" s="20">
        <v>17681</v>
      </c>
      <c r="L62" s="20">
        <v>21187</v>
      </c>
      <c r="M62" s="20">
        <v>6805</v>
      </c>
      <c r="N62" s="21">
        <v>169241</v>
      </c>
      <c r="O62" s="23">
        <f t="shared" si="0"/>
        <v>4.5347436148555076E-3</v>
      </c>
    </row>
    <row r="63" spans="1:15" x14ac:dyDescent="0.3">
      <c r="A63" s="19">
        <v>42644</v>
      </c>
      <c r="B63" s="20">
        <v>37389</v>
      </c>
      <c r="C63" s="20">
        <v>1772</v>
      </c>
      <c r="D63" s="20">
        <v>22909</v>
      </c>
      <c r="E63" s="20">
        <v>2917</v>
      </c>
      <c r="F63" s="20">
        <v>9617</v>
      </c>
      <c r="G63" s="20">
        <v>31439</v>
      </c>
      <c r="H63" s="20">
        <v>5040</v>
      </c>
      <c r="I63" s="20">
        <v>9158</v>
      </c>
      <c r="J63" s="20">
        <v>3315</v>
      </c>
      <c r="K63" s="20">
        <v>17446</v>
      </c>
      <c r="L63" s="20">
        <v>21307</v>
      </c>
      <c r="M63" s="20">
        <v>6841</v>
      </c>
      <c r="N63" s="21">
        <v>169150</v>
      </c>
      <c r="O63" s="23">
        <f t="shared" si="0"/>
        <v>-5.3769476663456661E-4</v>
      </c>
    </row>
    <row r="64" spans="1:15" x14ac:dyDescent="0.3">
      <c r="A64" s="19">
        <v>42675</v>
      </c>
      <c r="B64" s="20">
        <v>37507</v>
      </c>
      <c r="C64" s="20">
        <v>1797</v>
      </c>
      <c r="D64" s="20">
        <v>22702</v>
      </c>
      <c r="E64" s="20">
        <v>2904</v>
      </c>
      <c r="F64" s="20">
        <v>9586</v>
      </c>
      <c r="G64" s="20">
        <v>31508</v>
      </c>
      <c r="H64" s="20">
        <v>5015</v>
      </c>
      <c r="I64" s="20">
        <v>9221</v>
      </c>
      <c r="J64" s="20">
        <v>3303</v>
      </c>
      <c r="K64" s="20">
        <v>17212</v>
      </c>
      <c r="L64" s="20">
        <v>21427</v>
      </c>
      <c r="M64" s="20">
        <v>6877</v>
      </c>
      <c r="N64" s="21">
        <v>169059</v>
      </c>
      <c r="O64" s="23">
        <f t="shared" si="0"/>
        <v>-5.379840378362255E-4</v>
      </c>
    </row>
    <row r="65" spans="1:16" x14ac:dyDescent="0.3">
      <c r="A65" s="19">
        <v>42705</v>
      </c>
      <c r="B65" s="20">
        <v>34490</v>
      </c>
      <c r="C65" s="20">
        <v>1615</v>
      </c>
      <c r="D65" s="20">
        <v>22556</v>
      </c>
      <c r="E65" s="20">
        <v>2881</v>
      </c>
      <c r="F65" s="20">
        <v>9474</v>
      </c>
      <c r="G65" s="20">
        <v>31691</v>
      </c>
      <c r="H65" s="20">
        <v>4998</v>
      </c>
      <c r="I65" s="20">
        <v>9000</v>
      </c>
      <c r="J65" s="20">
        <v>3326</v>
      </c>
      <c r="K65" s="20">
        <v>17263</v>
      </c>
      <c r="L65" s="20">
        <v>21124</v>
      </c>
      <c r="M65" s="20">
        <v>6857</v>
      </c>
      <c r="N65" s="21">
        <v>165275</v>
      </c>
      <c r="O65" s="23">
        <f t="shared" si="0"/>
        <v>-2.2382718459236117E-2</v>
      </c>
    </row>
    <row r="66" spans="1:16" x14ac:dyDescent="0.3">
      <c r="A66" s="19">
        <v>42736</v>
      </c>
      <c r="B66" s="20">
        <v>33630</v>
      </c>
      <c r="C66" s="20">
        <v>1757</v>
      </c>
      <c r="D66" s="20">
        <v>22212</v>
      </c>
      <c r="E66" s="20">
        <v>2870</v>
      </c>
      <c r="F66" s="20">
        <v>9611</v>
      </c>
      <c r="G66" s="20">
        <v>31322</v>
      </c>
      <c r="H66" s="20">
        <v>5008</v>
      </c>
      <c r="I66" s="20">
        <v>8968</v>
      </c>
      <c r="J66" s="20">
        <v>3319</v>
      </c>
      <c r="K66" s="20">
        <v>17268</v>
      </c>
      <c r="L66" s="20">
        <v>20982</v>
      </c>
      <c r="M66" s="20">
        <v>6840</v>
      </c>
      <c r="N66" s="21">
        <v>163787</v>
      </c>
      <c r="O66" s="23">
        <f t="shared" si="0"/>
        <v>-9.0031765239751982E-3</v>
      </c>
      <c r="P66" s="24"/>
    </row>
    <row r="67" spans="1:16" x14ac:dyDescent="0.3">
      <c r="A67" s="19">
        <v>42767</v>
      </c>
      <c r="B67" s="20">
        <v>32601</v>
      </c>
      <c r="C67" s="20">
        <v>1837</v>
      </c>
      <c r="D67" s="20">
        <v>21806</v>
      </c>
      <c r="E67" s="20">
        <v>2870</v>
      </c>
      <c r="F67" s="20">
        <v>9789</v>
      </c>
      <c r="G67" s="20">
        <v>31148</v>
      </c>
      <c r="H67" s="20">
        <v>4942</v>
      </c>
      <c r="I67" s="20">
        <v>8913</v>
      </c>
      <c r="J67" s="20">
        <v>3321</v>
      </c>
      <c r="K67" s="20">
        <v>17722</v>
      </c>
      <c r="L67" s="20">
        <v>21059</v>
      </c>
      <c r="M67" s="20">
        <v>6815</v>
      </c>
      <c r="N67" s="21">
        <v>162823</v>
      </c>
      <c r="O67" s="23">
        <f t="shared" si="0"/>
        <v>-5.8856930037182176E-3</v>
      </c>
      <c r="P67" s="24"/>
    </row>
    <row r="68" spans="1:16" x14ac:dyDescent="0.3">
      <c r="A68" s="19">
        <v>42795</v>
      </c>
      <c r="B68" s="20">
        <v>36124</v>
      </c>
      <c r="C68" s="20">
        <v>2003</v>
      </c>
      <c r="D68" s="20">
        <v>21785</v>
      </c>
      <c r="E68" s="20">
        <v>2944</v>
      </c>
      <c r="F68" s="20">
        <v>9917</v>
      </c>
      <c r="G68" s="20">
        <v>31074</v>
      </c>
      <c r="H68" s="20">
        <v>4791</v>
      </c>
      <c r="I68" s="20">
        <v>8938</v>
      </c>
      <c r="J68" s="20">
        <v>3307</v>
      </c>
      <c r="K68" s="20">
        <v>18345</v>
      </c>
      <c r="L68" s="20">
        <v>21435</v>
      </c>
      <c r="M68" s="20">
        <v>6762</v>
      </c>
      <c r="N68" s="21">
        <v>167425</v>
      </c>
      <c r="O68" s="23">
        <f t="shared" si="0"/>
        <v>2.8263820221958724E-2</v>
      </c>
      <c r="P68" s="24"/>
    </row>
    <row r="69" spans="1:16" x14ac:dyDescent="0.3">
      <c r="A69" s="19">
        <v>42826</v>
      </c>
      <c r="B69" s="20">
        <v>39895</v>
      </c>
      <c r="C69" s="20">
        <v>3062</v>
      </c>
      <c r="D69" s="20">
        <v>21230</v>
      </c>
      <c r="E69" s="20">
        <v>2927</v>
      </c>
      <c r="F69" s="20">
        <v>9981</v>
      </c>
      <c r="G69" s="20">
        <v>31107</v>
      </c>
      <c r="H69" s="20">
        <v>4759</v>
      </c>
      <c r="I69" s="20">
        <v>8940</v>
      </c>
      <c r="J69" s="20">
        <v>3292</v>
      </c>
      <c r="K69" s="20">
        <v>18592</v>
      </c>
      <c r="L69" s="20">
        <v>21568</v>
      </c>
      <c r="M69" s="20">
        <v>6761</v>
      </c>
      <c r="N69" s="21">
        <v>172114</v>
      </c>
      <c r="O69" s="23">
        <f t="shared" si="0"/>
        <v>2.8006570106017703E-2</v>
      </c>
      <c r="P69" s="24"/>
    </row>
    <row r="70" spans="1:16" x14ac:dyDescent="0.3">
      <c r="A70" s="19">
        <v>42856</v>
      </c>
      <c r="B70" s="20">
        <v>44732</v>
      </c>
      <c r="C70" s="20">
        <v>3449</v>
      </c>
      <c r="D70" s="20">
        <v>21589</v>
      </c>
      <c r="E70" s="20">
        <v>2991</v>
      </c>
      <c r="F70" s="20">
        <v>10240</v>
      </c>
      <c r="G70" s="20">
        <v>31225</v>
      </c>
      <c r="H70" s="20">
        <v>4729</v>
      </c>
      <c r="I70" s="20">
        <v>9141</v>
      </c>
      <c r="J70" s="20">
        <v>3286</v>
      </c>
      <c r="K70" s="20">
        <v>18840</v>
      </c>
      <c r="L70" s="20">
        <v>21649</v>
      </c>
      <c r="M70" s="20">
        <v>6755</v>
      </c>
      <c r="N70" s="21">
        <v>178626</v>
      </c>
      <c r="O70" s="23">
        <f t="shared" si="0"/>
        <v>3.7835388172955176E-2</v>
      </c>
      <c r="P70" s="24"/>
    </row>
    <row r="71" spans="1:16" ht="13.5" customHeight="1" x14ac:dyDescent="0.3">
      <c r="A71" s="19">
        <v>42887</v>
      </c>
      <c r="B71" s="20">
        <v>47286</v>
      </c>
      <c r="C71" s="20">
        <v>3481</v>
      </c>
      <c r="D71" s="20">
        <v>22266</v>
      </c>
      <c r="E71" s="20">
        <v>3179</v>
      </c>
      <c r="F71" s="20">
        <v>10543</v>
      </c>
      <c r="G71" s="20">
        <v>31399</v>
      </c>
      <c r="H71" s="20">
        <v>4773</v>
      </c>
      <c r="I71" s="20">
        <v>9227</v>
      </c>
      <c r="J71" s="20">
        <v>3285</v>
      </c>
      <c r="K71" s="20">
        <v>18812</v>
      </c>
      <c r="L71" s="20">
        <v>21739</v>
      </c>
      <c r="M71" s="20">
        <v>6843</v>
      </c>
      <c r="N71" s="21">
        <v>182833</v>
      </c>
      <c r="O71" s="23">
        <f t="shared" ref="O71:O76" si="1">(N71/N70)-1</f>
        <v>2.3552002508033576E-2</v>
      </c>
      <c r="P71" s="24"/>
    </row>
    <row r="72" spans="1:16" x14ac:dyDescent="0.3">
      <c r="A72" s="19">
        <v>42917</v>
      </c>
      <c r="B72" s="20">
        <v>46822</v>
      </c>
      <c r="C72" s="20">
        <v>3070</v>
      </c>
      <c r="D72" s="20">
        <v>22377</v>
      </c>
      <c r="E72" s="20">
        <v>3113</v>
      </c>
      <c r="F72" s="20">
        <v>10578</v>
      </c>
      <c r="G72" s="20">
        <v>31424</v>
      </c>
      <c r="H72" s="20">
        <v>4744</v>
      </c>
      <c r="I72" s="20">
        <v>9321</v>
      </c>
      <c r="J72" s="20">
        <v>3273</v>
      </c>
      <c r="K72" s="20">
        <v>17616</v>
      </c>
      <c r="L72" s="20">
        <v>21778</v>
      </c>
      <c r="M72" s="20">
        <v>6816</v>
      </c>
      <c r="N72" s="21">
        <v>180932</v>
      </c>
      <c r="O72" s="23">
        <f t="shared" si="1"/>
        <v>-1.0397466540504219E-2</v>
      </c>
      <c r="P72" s="24"/>
    </row>
    <row r="73" spans="1:16" x14ac:dyDescent="0.3">
      <c r="A73" s="19">
        <v>42948</v>
      </c>
      <c r="B73" s="20">
        <v>46377</v>
      </c>
      <c r="C73" s="20">
        <v>2634</v>
      </c>
      <c r="D73" s="20">
        <v>22368</v>
      </c>
      <c r="E73" s="20">
        <v>3065</v>
      </c>
      <c r="F73" s="20">
        <v>10672</v>
      </c>
      <c r="G73" s="20">
        <v>31294</v>
      </c>
      <c r="H73" s="20">
        <v>4743</v>
      </c>
      <c r="I73" s="20">
        <v>9254</v>
      </c>
      <c r="J73" s="20">
        <v>3298</v>
      </c>
      <c r="K73" s="20">
        <v>17359</v>
      </c>
      <c r="L73" s="20">
        <v>21957</v>
      </c>
      <c r="M73" s="20">
        <v>6798</v>
      </c>
      <c r="N73" s="21">
        <v>179819</v>
      </c>
      <c r="O73" s="23">
        <f t="shared" si="1"/>
        <v>-6.1514823248512984E-3</v>
      </c>
      <c r="P73" s="24"/>
    </row>
    <row r="74" spans="1:16" x14ac:dyDescent="0.3">
      <c r="A74" s="19">
        <v>42979</v>
      </c>
      <c r="B74" s="20">
        <v>46440</v>
      </c>
      <c r="C74" s="20">
        <v>2628</v>
      </c>
      <c r="D74" s="20">
        <v>22481</v>
      </c>
      <c r="E74" s="20">
        <v>3068</v>
      </c>
      <c r="F74" s="20">
        <v>10915</v>
      </c>
      <c r="G74" s="20">
        <v>31357</v>
      </c>
      <c r="H74" s="20">
        <v>4815</v>
      </c>
      <c r="I74" s="20">
        <v>9299</v>
      </c>
      <c r="J74" s="20">
        <v>3355</v>
      </c>
      <c r="K74" s="20">
        <v>17124</v>
      </c>
      <c r="L74" s="20">
        <v>22049</v>
      </c>
      <c r="M74" s="20">
        <v>6777</v>
      </c>
      <c r="N74" s="21">
        <v>180308</v>
      </c>
      <c r="O74" s="23">
        <f t="shared" si="1"/>
        <v>2.7194011756266345E-3</v>
      </c>
      <c r="P74" s="24"/>
    </row>
    <row r="75" spans="1:16" x14ac:dyDescent="0.3">
      <c r="A75" s="19">
        <v>43009</v>
      </c>
      <c r="B75" s="20">
        <v>46980</v>
      </c>
      <c r="C75" s="20">
        <v>2563</v>
      </c>
      <c r="D75" s="20">
        <v>22106</v>
      </c>
      <c r="E75" s="20">
        <v>3072</v>
      </c>
      <c r="F75" s="20">
        <v>10960</v>
      </c>
      <c r="G75" s="20">
        <v>31522</v>
      </c>
      <c r="H75" s="20">
        <v>4821</v>
      </c>
      <c r="I75" s="20">
        <v>9117</v>
      </c>
      <c r="J75" s="20">
        <v>3327</v>
      </c>
      <c r="K75" s="20">
        <v>17012</v>
      </c>
      <c r="L75" s="20">
        <v>22125</v>
      </c>
      <c r="M75" s="20">
        <v>6728</v>
      </c>
      <c r="N75" s="21">
        <v>180333</v>
      </c>
      <c r="O75" s="23">
        <f t="shared" si="1"/>
        <v>1.3865164052617729E-4</v>
      </c>
      <c r="P75" s="24"/>
    </row>
    <row r="76" spans="1:16" x14ac:dyDescent="0.3">
      <c r="A76" s="19">
        <v>43040</v>
      </c>
      <c r="B76" s="20">
        <v>43374</v>
      </c>
      <c r="C76" s="20">
        <v>2285</v>
      </c>
      <c r="D76" s="20">
        <v>21601</v>
      </c>
      <c r="E76" s="20">
        <v>2944</v>
      </c>
      <c r="F76" s="20">
        <v>11015</v>
      </c>
      <c r="G76" s="20">
        <v>31718</v>
      </c>
      <c r="H76" s="20">
        <v>4903</v>
      </c>
      <c r="I76" s="20">
        <v>9095</v>
      </c>
      <c r="J76" s="20">
        <v>3353</v>
      </c>
      <c r="K76" s="20">
        <v>17109</v>
      </c>
      <c r="L76" s="20">
        <v>22177</v>
      </c>
      <c r="M76" s="20">
        <v>6773</v>
      </c>
      <c r="N76" s="21">
        <v>176347</v>
      </c>
      <c r="O76" s="23">
        <f t="shared" si="1"/>
        <v>-2.2103552871631904E-2</v>
      </c>
      <c r="P76" s="24"/>
    </row>
    <row r="77" spans="1:16" ht="15" customHeight="1" x14ac:dyDescent="0.3">
      <c r="A77" s="19">
        <v>43070</v>
      </c>
      <c r="B77" s="20">
        <v>43403</v>
      </c>
      <c r="C77" s="20">
        <v>2214</v>
      </c>
      <c r="D77" s="20">
        <v>21530</v>
      </c>
      <c r="E77" s="20">
        <v>2814</v>
      </c>
      <c r="F77" s="20">
        <v>11010</v>
      </c>
      <c r="G77" s="20">
        <v>31465</v>
      </c>
      <c r="H77" s="20">
        <v>5087</v>
      </c>
      <c r="I77" s="20">
        <v>9150</v>
      </c>
      <c r="J77" s="20">
        <v>3276</v>
      </c>
      <c r="K77" s="20">
        <v>17105</v>
      </c>
      <c r="L77" s="20">
        <v>22276</v>
      </c>
      <c r="M77" s="20">
        <v>6447</v>
      </c>
      <c r="N77" s="21">
        <v>175777</v>
      </c>
      <c r="O77" s="23">
        <f t="shared" ref="O77:O82" si="2">(N77-N76)/N76</f>
        <v>-3.2322636619846099E-3</v>
      </c>
      <c r="P77" s="24"/>
    </row>
    <row r="78" spans="1:16" ht="15" customHeight="1" x14ac:dyDescent="0.3">
      <c r="A78" s="19">
        <v>43101</v>
      </c>
      <c r="B78" s="20">
        <v>43021</v>
      </c>
      <c r="C78" s="20">
        <v>1942</v>
      </c>
      <c r="D78" s="20">
        <v>21619</v>
      </c>
      <c r="E78" s="20">
        <v>2812</v>
      </c>
      <c r="F78" s="20">
        <v>10885</v>
      </c>
      <c r="G78" s="20">
        <v>31129</v>
      </c>
      <c r="H78" s="20">
        <v>5140</v>
      </c>
      <c r="I78" s="20">
        <v>9080</v>
      </c>
      <c r="J78" s="20">
        <v>3266</v>
      </c>
      <c r="K78" s="20">
        <v>17040</v>
      </c>
      <c r="L78" s="20">
        <v>22043</v>
      </c>
      <c r="M78" s="20">
        <v>6476</v>
      </c>
      <c r="N78" s="21">
        <v>174453</v>
      </c>
      <c r="O78" s="23">
        <f t="shared" si="2"/>
        <v>-7.5322710024633482E-3</v>
      </c>
    </row>
    <row r="79" spans="1:16" s="25" customFormat="1" ht="15" customHeight="1" x14ac:dyDescent="0.3">
      <c r="A79" s="19">
        <v>43132</v>
      </c>
      <c r="B79" s="20">
        <v>43792</v>
      </c>
      <c r="C79" s="20">
        <v>1949</v>
      </c>
      <c r="D79" s="20">
        <v>21335</v>
      </c>
      <c r="E79" s="20">
        <v>2765</v>
      </c>
      <c r="F79" s="20">
        <v>10725</v>
      </c>
      <c r="G79" s="20">
        <v>31114</v>
      </c>
      <c r="H79" s="20">
        <v>5023</v>
      </c>
      <c r="I79" s="20">
        <v>8999</v>
      </c>
      <c r="J79" s="20">
        <v>3252</v>
      </c>
      <c r="K79" s="20">
        <v>16940</v>
      </c>
      <c r="L79" s="20">
        <v>22132</v>
      </c>
      <c r="M79" s="20">
        <v>6455</v>
      </c>
      <c r="N79" s="21">
        <v>174481</v>
      </c>
      <c r="O79" s="23">
        <f t="shared" si="2"/>
        <v>1.6050168240156374E-4</v>
      </c>
    </row>
    <row r="80" spans="1:16" x14ac:dyDescent="0.3">
      <c r="A80" s="19">
        <v>43160</v>
      </c>
      <c r="B80" s="20">
        <v>47393</v>
      </c>
      <c r="C80" s="20">
        <v>2041</v>
      </c>
      <c r="D80" s="20">
        <v>21598</v>
      </c>
      <c r="E80" s="20">
        <v>2773</v>
      </c>
      <c r="F80" s="20">
        <v>10569</v>
      </c>
      <c r="G80" s="20">
        <v>30968</v>
      </c>
      <c r="H80" s="20">
        <v>4994</v>
      </c>
      <c r="I80" s="20">
        <v>8973</v>
      </c>
      <c r="J80" s="20">
        <v>3251</v>
      </c>
      <c r="K80" s="20">
        <v>17076</v>
      </c>
      <c r="L80" s="20">
        <v>22497</v>
      </c>
      <c r="M80" s="20">
        <v>6424</v>
      </c>
      <c r="N80" s="21">
        <v>178557</v>
      </c>
      <c r="O80" s="23">
        <f t="shared" si="2"/>
        <v>2.336070976209444E-2</v>
      </c>
    </row>
    <row r="81" spans="1:16" x14ac:dyDescent="0.3">
      <c r="A81" s="19">
        <v>43191</v>
      </c>
      <c r="B81" s="20">
        <v>51611</v>
      </c>
      <c r="C81" s="20">
        <v>2168</v>
      </c>
      <c r="D81" s="20">
        <v>21528</v>
      </c>
      <c r="E81" s="20">
        <v>2797</v>
      </c>
      <c r="F81" s="20">
        <v>10518</v>
      </c>
      <c r="G81" s="20">
        <v>31076</v>
      </c>
      <c r="H81" s="20">
        <v>4855</v>
      </c>
      <c r="I81" s="20">
        <v>8969</v>
      </c>
      <c r="J81" s="20">
        <v>3252</v>
      </c>
      <c r="K81" s="20">
        <v>17417</v>
      </c>
      <c r="L81" s="20">
        <v>22671</v>
      </c>
      <c r="M81" s="20">
        <v>6439</v>
      </c>
      <c r="N81" s="21">
        <v>183301</v>
      </c>
      <c r="O81" s="23">
        <f t="shared" si="2"/>
        <v>2.6568546738576476E-2</v>
      </c>
    </row>
    <row r="82" spans="1:16" x14ac:dyDescent="0.3">
      <c r="A82" s="19">
        <v>43221</v>
      </c>
      <c r="B82" s="20">
        <v>55070</v>
      </c>
      <c r="C82" s="20">
        <v>2442</v>
      </c>
      <c r="D82" s="20">
        <v>22181</v>
      </c>
      <c r="E82" s="20">
        <v>2777</v>
      </c>
      <c r="F82" s="20">
        <v>10436</v>
      </c>
      <c r="G82" s="20">
        <v>31101</v>
      </c>
      <c r="H82" s="20">
        <v>4798</v>
      </c>
      <c r="I82" s="20">
        <v>9091</v>
      </c>
      <c r="J82" s="20">
        <v>3249</v>
      </c>
      <c r="K82" s="20">
        <v>17807</v>
      </c>
      <c r="L82" s="20">
        <v>22845</v>
      </c>
      <c r="M82" s="20">
        <v>6438</v>
      </c>
      <c r="N82" s="21">
        <v>188235</v>
      </c>
      <c r="O82" s="26">
        <f t="shared" si="2"/>
        <v>2.691747453641824E-2</v>
      </c>
    </row>
    <row r="83" spans="1:16" s="30" customFormat="1" ht="15" customHeight="1" x14ac:dyDescent="0.3">
      <c r="A83" s="19">
        <v>43252</v>
      </c>
      <c r="B83" s="27">
        <v>56459</v>
      </c>
      <c r="C83" s="27">
        <v>2478</v>
      </c>
      <c r="D83" s="27">
        <v>22549</v>
      </c>
      <c r="E83" s="27">
        <v>2888</v>
      </c>
      <c r="F83" s="27">
        <v>10436</v>
      </c>
      <c r="G83" s="27">
        <v>30504</v>
      </c>
      <c r="H83" s="27">
        <v>4837</v>
      </c>
      <c r="I83" s="27">
        <v>9193</v>
      </c>
      <c r="J83" s="27">
        <v>3258</v>
      </c>
      <c r="K83" s="27">
        <v>17686</v>
      </c>
      <c r="L83" s="27">
        <v>22895</v>
      </c>
      <c r="M83" s="27">
        <v>6444</v>
      </c>
      <c r="N83" s="28">
        <v>189627</v>
      </c>
      <c r="O83" s="29">
        <f>(N83-N82)/N82</f>
        <v>7.395011554705554E-3</v>
      </c>
    </row>
    <row r="84" spans="1:16" s="30" customFormat="1" ht="15" customHeight="1" x14ac:dyDescent="0.3">
      <c r="A84" s="19">
        <v>43282</v>
      </c>
      <c r="B84" s="27">
        <v>56116</v>
      </c>
      <c r="C84" s="27">
        <v>2467</v>
      </c>
      <c r="D84" s="27">
        <v>22457</v>
      </c>
      <c r="E84" s="27">
        <v>2887</v>
      </c>
      <c r="F84" s="27">
        <v>10386</v>
      </c>
      <c r="G84" s="27">
        <v>30342</v>
      </c>
      <c r="H84" s="27">
        <v>4860</v>
      </c>
      <c r="I84" s="27">
        <v>9158</v>
      </c>
      <c r="J84" s="27">
        <v>3240</v>
      </c>
      <c r="K84" s="27">
        <v>16762</v>
      </c>
      <c r="L84" s="27">
        <v>22849</v>
      </c>
      <c r="M84" s="27">
        <v>6401</v>
      </c>
      <c r="N84" s="28">
        <v>187925</v>
      </c>
      <c r="O84" s="23">
        <f>(N84-N83)/N83</f>
        <v>-8.9755150901506646E-3</v>
      </c>
    </row>
    <row r="85" spans="1:16" s="30" customFormat="1" ht="15" customHeight="1" x14ac:dyDescent="0.3">
      <c r="A85" s="19">
        <v>43313</v>
      </c>
      <c r="B85" s="27">
        <v>53621</v>
      </c>
      <c r="C85" s="27">
        <v>2310</v>
      </c>
      <c r="D85" s="27">
        <v>21728</v>
      </c>
      <c r="E85" s="27">
        <v>2789</v>
      </c>
      <c r="F85" s="27">
        <v>10128</v>
      </c>
      <c r="G85" s="27">
        <v>29897</v>
      </c>
      <c r="H85" s="27">
        <v>4794</v>
      </c>
      <c r="I85" s="27">
        <v>9157</v>
      </c>
      <c r="J85" s="27">
        <v>3231</v>
      </c>
      <c r="K85" s="27">
        <v>16320</v>
      </c>
      <c r="L85" s="27">
        <v>22393</v>
      </c>
      <c r="M85" s="27">
        <v>6322</v>
      </c>
      <c r="N85" s="28">
        <v>182690</v>
      </c>
      <c r="O85" s="23">
        <f t="shared" ref="O85:O127" si="3">(N85-N84)/N84</f>
        <v>-2.7856857789011574E-2</v>
      </c>
    </row>
    <row r="86" spans="1:16" s="30" customFormat="1" ht="15" customHeight="1" x14ac:dyDescent="0.3">
      <c r="A86" s="19">
        <v>43344</v>
      </c>
      <c r="B86" s="27">
        <v>47968</v>
      </c>
      <c r="C86" s="27">
        <v>2222</v>
      </c>
      <c r="D86" s="27">
        <v>21527</v>
      </c>
      <c r="E86" s="27">
        <v>2764</v>
      </c>
      <c r="F86" s="27">
        <v>10009</v>
      </c>
      <c r="G86" s="27">
        <v>29700</v>
      </c>
      <c r="H86" s="27">
        <v>4766</v>
      </c>
      <c r="I86" s="27">
        <v>9100</v>
      </c>
      <c r="J86" s="27">
        <v>3224</v>
      </c>
      <c r="K86" s="27">
        <v>16176</v>
      </c>
      <c r="L86" s="27">
        <v>22420</v>
      </c>
      <c r="M86" s="27">
        <v>6346</v>
      </c>
      <c r="N86" s="28">
        <v>176222</v>
      </c>
      <c r="O86" s="23">
        <f t="shared" si="3"/>
        <v>-3.5404236685094972E-2</v>
      </c>
    </row>
    <row r="87" spans="1:16" s="30" customFormat="1" ht="15" customHeight="1" x14ac:dyDescent="0.3">
      <c r="A87" s="19">
        <v>43374</v>
      </c>
      <c r="B87" s="27">
        <v>45196</v>
      </c>
      <c r="C87" s="27">
        <v>2156</v>
      </c>
      <c r="D87" s="27">
        <v>20679</v>
      </c>
      <c r="E87" s="27">
        <v>2680</v>
      </c>
      <c r="F87" s="27">
        <v>9801</v>
      </c>
      <c r="G87" s="27">
        <v>29557</v>
      </c>
      <c r="H87" s="27">
        <v>4778</v>
      </c>
      <c r="I87" s="27">
        <v>8807</v>
      </c>
      <c r="J87" s="27">
        <v>3173</v>
      </c>
      <c r="K87" s="27">
        <v>16070</v>
      </c>
      <c r="L87" s="27">
        <v>22509</v>
      </c>
      <c r="M87" s="27">
        <v>6341</v>
      </c>
      <c r="N87" s="28">
        <v>171747</v>
      </c>
      <c r="O87" s="23">
        <f t="shared" si="3"/>
        <v>-2.5394105162806005E-2</v>
      </c>
    </row>
    <row r="88" spans="1:16" s="30" customFormat="1" ht="15" customHeight="1" x14ac:dyDescent="0.3">
      <c r="A88" s="19">
        <v>43405</v>
      </c>
      <c r="B88" s="27">
        <v>37618</v>
      </c>
      <c r="C88" s="27">
        <v>2141</v>
      </c>
      <c r="D88" s="27">
        <v>20071</v>
      </c>
      <c r="E88" s="27">
        <v>2688</v>
      </c>
      <c r="F88" s="27">
        <v>9609</v>
      </c>
      <c r="G88" s="27">
        <v>29437</v>
      </c>
      <c r="H88" s="27">
        <v>4757</v>
      </c>
      <c r="I88" s="27">
        <v>8680</v>
      </c>
      <c r="J88" s="27">
        <v>3176</v>
      </c>
      <c r="K88" s="27">
        <v>16418</v>
      </c>
      <c r="L88" s="27">
        <v>22542</v>
      </c>
      <c r="M88" s="27">
        <v>6318</v>
      </c>
      <c r="N88" s="28">
        <v>163455</v>
      </c>
      <c r="O88" s="23">
        <f t="shared" si="3"/>
        <v>-4.8280319306887455E-2</v>
      </c>
    </row>
    <row r="89" spans="1:16" s="30" customFormat="1" ht="15" customHeight="1" x14ac:dyDescent="0.3">
      <c r="A89" s="19">
        <v>43435</v>
      </c>
      <c r="B89" s="31">
        <v>30242</v>
      </c>
      <c r="C89" s="31">
        <v>2247</v>
      </c>
      <c r="D89" s="31">
        <v>19977</v>
      </c>
      <c r="E89" s="31">
        <v>2659</v>
      </c>
      <c r="F89" s="31">
        <v>9561</v>
      </c>
      <c r="G89" s="31">
        <v>29678</v>
      </c>
      <c r="H89" s="31">
        <v>4737</v>
      </c>
      <c r="I89" s="31">
        <v>8688</v>
      </c>
      <c r="J89" s="31">
        <v>3182</v>
      </c>
      <c r="K89" s="31">
        <v>16457</v>
      </c>
      <c r="L89" s="31">
        <v>22328</v>
      </c>
      <c r="M89" s="31">
        <v>6317</v>
      </c>
      <c r="N89" s="28">
        <v>156073</v>
      </c>
      <c r="O89" s="23">
        <f t="shared" si="3"/>
        <v>-4.5162277079318469E-2</v>
      </c>
    </row>
    <row r="90" spans="1:16" s="30" customFormat="1" ht="15" customHeight="1" x14ac:dyDescent="0.3">
      <c r="A90" s="19">
        <v>43466</v>
      </c>
      <c r="B90" s="31">
        <v>28399</v>
      </c>
      <c r="C90" s="31">
        <v>2192</v>
      </c>
      <c r="D90" s="31">
        <v>20079</v>
      </c>
      <c r="E90" s="31">
        <v>2660</v>
      </c>
      <c r="F90" s="31">
        <v>9451</v>
      </c>
      <c r="G90" s="31">
        <v>29413</v>
      </c>
      <c r="H90" s="31">
        <v>4689</v>
      </c>
      <c r="I90" s="31">
        <v>8620</v>
      </c>
      <c r="J90" s="31">
        <v>3181</v>
      </c>
      <c r="K90" s="31">
        <v>16144</v>
      </c>
      <c r="L90" s="31">
        <v>22205</v>
      </c>
      <c r="M90" s="31">
        <v>6296</v>
      </c>
      <c r="N90" s="28">
        <v>153329</v>
      </c>
      <c r="O90" s="23">
        <f t="shared" si="3"/>
        <v>-1.758151634171189E-2</v>
      </c>
    </row>
    <row r="91" spans="1:16" s="30" customFormat="1" ht="15" customHeight="1" x14ac:dyDescent="0.3">
      <c r="A91" s="19">
        <v>43497</v>
      </c>
      <c r="B91" s="31">
        <v>25691</v>
      </c>
      <c r="C91" s="31">
        <v>2176</v>
      </c>
      <c r="D91" s="31">
        <v>19947</v>
      </c>
      <c r="E91" s="31">
        <v>2828</v>
      </c>
      <c r="F91" s="31">
        <v>9451</v>
      </c>
      <c r="G91" s="31">
        <v>29326</v>
      </c>
      <c r="H91" s="31">
        <v>4608</v>
      </c>
      <c r="I91" s="31">
        <v>8532</v>
      </c>
      <c r="J91" s="31">
        <v>3174</v>
      </c>
      <c r="K91" s="31">
        <v>15927</v>
      </c>
      <c r="L91" s="31">
        <v>22335</v>
      </c>
      <c r="M91" s="31">
        <v>6283</v>
      </c>
      <c r="N91" s="28">
        <v>150278</v>
      </c>
      <c r="O91" s="23">
        <f t="shared" si="3"/>
        <v>-1.9898388432716577E-2</v>
      </c>
    </row>
    <row r="92" spans="1:16" s="30" customFormat="1" ht="15" customHeight="1" x14ac:dyDescent="0.3">
      <c r="A92" s="19">
        <v>43525</v>
      </c>
      <c r="B92" s="31">
        <v>30792</v>
      </c>
      <c r="C92" s="31">
        <v>2205</v>
      </c>
      <c r="D92" s="31">
        <v>19985</v>
      </c>
      <c r="E92" s="31">
        <v>2806</v>
      </c>
      <c r="F92" s="31">
        <v>9547</v>
      </c>
      <c r="G92" s="31">
        <v>28980</v>
      </c>
      <c r="H92" s="31">
        <v>4517</v>
      </c>
      <c r="I92" s="31">
        <v>8461</v>
      </c>
      <c r="J92" s="31">
        <v>3161</v>
      </c>
      <c r="K92" s="31">
        <v>15961</v>
      </c>
      <c r="L92" s="31">
        <v>22690</v>
      </c>
      <c r="M92" s="31">
        <v>6258</v>
      </c>
      <c r="N92" s="28">
        <v>155363</v>
      </c>
      <c r="O92" s="23">
        <f t="shared" si="3"/>
        <v>3.383728822582148E-2</v>
      </c>
    </row>
    <row r="93" spans="1:16" s="30" customFormat="1" ht="15" customHeight="1" x14ac:dyDescent="0.3">
      <c r="A93" s="19">
        <v>43556</v>
      </c>
      <c r="B93" s="31">
        <v>35909</v>
      </c>
      <c r="C93" s="31">
        <v>2318</v>
      </c>
      <c r="D93" s="31">
        <v>20243</v>
      </c>
      <c r="E93" s="31">
        <v>2765</v>
      </c>
      <c r="F93" s="31">
        <v>9416</v>
      </c>
      <c r="G93" s="31">
        <v>28936</v>
      </c>
      <c r="H93" s="31">
        <v>4514</v>
      </c>
      <c r="I93" s="31">
        <v>8457</v>
      </c>
      <c r="J93" s="31">
        <v>3171</v>
      </c>
      <c r="K93" s="31">
        <v>15954</v>
      </c>
      <c r="L93" s="31">
        <v>22765</v>
      </c>
      <c r="M93" s="31">
        <v>6212</v>
      </c>
      <c r="N93" s="28">
        <v>160660</v>
      </c>
      <c r="O93" s="23">
        <f t="shared" si="3"/>
        <v>3.4094346787845238E-2</v>
      </c>
      <c r="P93" s="32"/>
    </row>
    <row r="94" spans="1:16" s="30" customFormat="1" ht="15" customHeight="1" x14ac:dyDescent="0.3">
      <c r="A94" s="19">
        <v>43586</v>
      </c>
      <c r="B94" s="31">
        <v>41180</v>
      </c>
      <c r="C94" s="31">
        <v>2460</v>
      </c>
      <c r="D94" s="31">
        <v>20278</v>
      </c>
      <c r="E94" s="31">
        <v>2753</v>
      </c>
      <c r="F94" s="31">
        <v>9333</v>
      </c>
      <c r="G94" s="31">
        <v>29172</v>
      </c>
      <c r="H94" s="31">
        <v>4438</v>
      </c>
      <c r="I94" s="31">
        <v>8596</v>
      </c>
      <c r="J94" s="31">
        <v>3170</v>
      </c>
      <c r="K94" s="31">
        <v>16273</v>
      </c>
      <c r="L94" s="31">
        <v>22903</v>
      </c>
      <c r="M94" s="31">
        <v>6227</v>
      </c>
      <c r="N94" s="28">
        <v>166783</v>
      </c>
      <c r="O94" s="23">
        <f t="shared" si="3"/>
        <v>3.8111539897921078E-2</v>
      </c>
    </row>
    <row r="95" spans="1:16" s="30" customFormat="1" ht="15" customHeight="1" x14ac:dyDescent="0.3">
      <c r="A95" s="19">
        <v>43617</v>
      </c>
      <c r="B95" s="31">
        <v>40220</v>
      </c>
      <c r="C95" s="31">
        <v>2622</v>
      </c>
      <c r="D95" s="31">
        <v>20776</v>
      </c>
      <c r="E95" s="31">
        <v>2809</v>
      </c>
      <c r="F95" s="31">
        <v>9597</v>
      </c>
      <c r="G95" s="31">
        <v>29154</v>
      </c>
      <c r="H95" s="31">
        <v>4406</v>
      </c>
      <c r="I95" s="31">
        <v>8972</v>
      </c>
      <c r="J95" s="31">
        <v>3244</v>
      </c>
      <c r="K95" s="31">
        <v>16033</v>
      </c>
      <c r="L95" s="31">
        <v>22931</v>
      </c>
      <c r="M95" s="31">
        <v>6171</v>
      </c>
      <c r="N95" s="28">
        <v>166935</v>
      </c>
      <c r="O95" s="23">
        <f t="shared" si="3"/>
        <v>9.1136386802012192E-4</v>
      </c>
    </row>
    <row r="96" spans="1:16" s="30" customFormat="1" ht="15" customHeight="1" x14ac:dyDescent="0.3">
      <c r="A96" s="19">
        <v>43647</v>
      </c>
      <c r="B96" s="31">
        <v>40227</v>
      </c>
      <c r="C96" s="31">
        <v>2700</v>
      </c>
      <c r="D96" s="31">
        <v>20787</v>
      </c>
      <c r="E96" s="31">
        <v>2812</v>
      </c>
      <c r="F96" s="31">
        <v>9569</v>
      </c>
      <c r="G96" s="31">
        <v>29096</v>
      </c>
      <c r="H96" s="31">
        <v>4374</v>
      </c>
      <c r="I96" s="31">
        <v>8956</v>
      </c>
      <c r="J96" s="31">
        <v>3251</v>
      </c>
      <c r="K96" s="31">
        <v>15898</v>
      </c>
      <c r="L96" s="31">
        <v>22957</v>
      </c>
      <c r="M96" s="31">
        <v>6110</v>
      </c>
      <c r="N96" s="28">
        <f>SUM(B96:M96)</f>
        <v>166737</v>
      </c>
      <c r="O96" s="23">
        <f t="shared" si="3"/>
        <v>-1.1860903944649116E-3</v>
      </c>
    </row>
    <row r="97" spans="1:15" s="30" customFormat="1" ht="15" customHeight="1" x14ac:dyDescent="0.3">
      <c r="A97" s="19">
        <v>43678</v>
      </c>
      <c r="B97" s="31">
        <v>37426</v>
      </c>
      <c r="C97" s="31">
        <v>2684</v>
      </c>
      <c r="D97" s="31">
        <v>20732</v>
      </c>
      <c r="E97" s="31">
        <v>2829</v>
      </c>
      <c r="F97" s="31">
        <v>9509</v>
      </c>
      <c r="G97" s="31">
        <v>28945</v>
      </c>
      <c r="H97" s="31">
        <v>4341</v>
      </c>
      <c r="I97" s="31">
        <v>8801</v>
      </c>
      <c r="J97" s="31">
        <v>3239</v>
      </c>
      <c r="K97" s="31">
        <v>15969</v>
      </c>
      <c r="L97" s="31">
        <v>23009</v>
      </c>
      <c r="M97" s="31">
        <v>6091</v>
      </c>
      <c r="N97" s="28">
        <f>SUM(B97:M97)</f>
        <v>163575</v>
      </c>
      <c r="O97" s="23">
        <f t="shared" si="3"/>
        <v>-1.8963997193184475E-2</v>
      </c>
    </row>
    <row r="98" spans="1:15" s="30" customFormat="1" ht="15" customHeight="1" x14ac:dyDescent="0.3">
      <c r="A98" s="19">
        <v>43709</v>
      </c>
      <c r="B98" s="31">
        <v>38669</v>
      </c>
      <c r="C98" s="31">
        <v>2508</v>
      </c>
      <c r="D98" s="31">
        <v>20564</v>
      </c>
      <c r="E98" s="31">
        <v>2845</v>
      </c>
      <c r="F98" s="31">
        <v>9545</v>
      </c>
      <c r="G98" s="31">
        <v>28807</v>
      </c>
      <c r="H98" s="31">
        <v>4335</v>
      </c>
      <c r="I98" s="31">
        <v>9667</v>
      </c>
      <c r="J98" s="31">
        <v>3227</v>
      </c>
      <c r="K98" s="31">
        <v>15933</v>
      </c>
      <c r="L98" s="31">
        <v>23133</v>
      </c>
      <c r="M98" s="31">
        <v>6105</v>
      </c>
      <c r="N98" s="28">
        <f>SUM(B98:M98)</f>
        <v>165338</v>
      </c>
      <c r="O98" s="23">
        <f t="shared" si="3"/>
        <v>1.0777930612868714E-2</v>
      </c>
    </row>
    <row r="99" spans="1:15" s="30" customFormat="1" ht="15" customHeight="1" x14ac:dyDescent="0.3">
      <c r="A99" s="19">
        <v>43739</v>
      </c>
      <c r="B99" s="31">
        <v>37459</v>
      </c>
      <c r="C99" s="31">
        <v>2447</v>
      </c>
      <c r="D99" s="31">
        <v>20484</v>
      </c>
      <c r="E99" s="31">
        <v>2947</v>
      </c>
      <c r="F99" s="31">
        <v>9339</v>
      </c>
      <c r="G99" s="31">
        <v>28757</v>
      </c>
      <c r="H99" s="31">
        <v>4279</v>
      </c>
      <c r="I99" s="31">
        <v>8853</v>
      </c>
      <c r="J99" s="31">
        <v>3208</v>
      </c>
      <c r="K99" s="31">
        <v>16355</v>
      </c>
      <c r="L99" s="31">
        <v>23253</v>
      </c>
      <c r="M99" s="31">
        <v>6096</v>
      </c>
      <c r="N99" s="28">
        <f>SUM(B99:M99)</f>
        <v>163477</v>
      </c>
      <c r="O99" s="23">
        <f t="shared" si="3"/>
        <v>-1.1255730685020988E-2</v>
      </c>
    </row>
    <row r="100" spans="1:15" s="30" customFormat="1" ht="15" customHeight="1" x14ac:dyDescent="0.3">
      <c r="A100" s="19">
        <v>43770</v>
      </c>
      <c r="B100" s="31">
        <v>33936</v>
      </c>
      <c r="C100" s="31">
        <v>2334</v>
      </c>
      <c r="D100" s="31">
        <v>20127</v>
      </c>
      <c r="E100" s="31">
        <v>2890</v>
      </c>
      <c r="F100" s="31">
        <v>9306</v>
      </c>
      <c r="G100" s="31">
        <v>28152</v>
      </c>
      <c r="H100" s="31">
        <v>4284</v>
      </c>
      <c r="I100" s="31">
        <v>8706</v>
      </c>
      <c r="J100" s="31">
        <v>3193</v>
      </c>
      <c r="K100" s="31">
        <v>16169</v>
      </c>
      <c r="L100" s="31">
        <v>23301</v>
      </c>
      <c r="M100" s="31">
        <v>6119</v>
      </c>
      <c r="N100" s="28">
        <f t="shared" ref="N100:N101" si="4">SUM(B100:M100)</f>
        <v>158517</v>
      </c>
      <c r="O100" s="23">
        <f t="shared" si="3"/>
        <v>-3.0340659542320937E-2</v>
      </c>
    </row>
    <row r="101" spans="1:15" s="30" customFormat="1" ht="15" customHeight="1" x14ac:dyDescent="0.3">
      <c r="A101" s="19">
        <v>43800</v>
      </c>
      <c r="B101" s="31">
        <v>28329</v>
      </c>
      <c r="C101" s="31">
        <v>2306</v>
      </c>
      <c r="D101" s="31">
        <v>20135</v>
      </c>
      <c r="E101" s="31">
        <v>2817</v>
      </c>
      <c r="F101" s="31">
        <v>9211</v>
      </c>
      <c r="G101" s="31">
        <v>28250</v>
      </c>
      <c r="H101" s="31">
        <v>4303</v>
      </c>
      <c r="I101" s="31">
        <v>8561</v>
      </c>
      <c r="J101" s="31">
        <v>3186</v>
      </c>
      <c r="K101" s="31">
        <v>16189</v>
      </c>
      <c r="L101" s="31">
        <v>23102</v>
      </c>
      <c r="M101" s="31">
        <v>6099</v>
      </c>
      <c r="N101" s="28">
        <f t="shared" si="4"/>
        <v>152488</v>
      </c>
      <c r="O101" s="23">
        <f t="shared" si="3"/>
        <v>-3.8033775557195761E-2</v>
      </c>
    </row>
    <row r="102" spans="1:15" s="30" customFormat="1" ht="15" customHeight="1" x14ac:dyDescent="0.3">
      <c r="A102" s="19">
        <v>43831</v>
      </c>
      <c r="B102" s="31">
        <v>27099</v>
      </c>
      <c r="C102" s="31">
        <v>2551</v>
      </c>
      <c r="D102" s="31">
        <v>20155</v>
      </c>
      <c r="E102" s="31">
        <v>2816</v>
      </c>
      <c r="F102" s="31">
        <v>9242</v>
      </c>
      <c r="G102" s="31">
        <v>28028</v>
      </c>
      <c r="H102" s="31">
        <v>4299</v>
      </c>
      <c r="I102" s="31">
        <v>8512</v>
      </c>
      <c r="J102" s="31">
        <v>3184</v>
      </c>
      <c r="K102" s="31">
        <v>16196</v>
      </c>
      <c r="L102" s="31">
        <v>22903</v>
      </c>
      <c r="M102" s="31">
        <v>6076</v>
      </c>
      <c r="N102" s="28">
        <f t="shared" ref="N102:N127" si="5">SUM(B102:M102)</f>
        <v>151061</v>
      </c>
      <c r="O102" s="23">
        <f t="shared" si="3"/>
        <v>-9.3581134253187138E-3</v>
      </c>
    </row>
    <row r="103" spans="1:15" s="30" customFormat="1" ht="15" customHeight="1" x14ac:dyDescent="0.3">
      <c r="A103" s="19">
        <v>43862</v>
      </c>
      <c r="B103" s="31">
        <v>27581</v>
      </c>
      <c r="C103" s="31">
        <v>2551</v>
      </c>
      <c r="D103" s="31">
        <v>19766</v>
      </c>
      <c r="E103" s="31">
        <v>2810</v>
      </c>
      <c r="F103" s="31">
        <v>8979</v>
      </c>
      <c r="G103" s="31">
        <v>27914</v>
      </c>
      <c r="H103" s="31">
        <v>4238</v>
      </c>
      <c r="I103" s="31">
        <v>8464</v>
      </c>
      <c r="J103" s="31">
        <v>3182</v>
      </c>
      <c r="K103" s="31">
        <v>15715</v>
      </c>
      <c r="L103" s="31">
        <v>23026</v>
      </c>
      <c r="M103" s="31">
        <v>6050</v>
      </c>
      <c r="N103" s="28">
        <f t="shared" si="5"/>
        <v>150276</v>
      </c>
      <c r="O103" s="23">
        <f t="shared" si="3"/>
        <v>-5.1965762175544975E-3</v>
      </c>
    </row>
    <row r="104" spans="1:15" s="30" customFormat="1" ht="15" customHeight="1" x14ac:dyDescent="0.3">
      <c r="A104" s="19">
        <v>43891</v>
      </c>
      <c r="B104" s="31">
        <v>31131</v>
      </c>
      <c r="C104" s="31">
        <v>2587</v>
      </c>
      <c r="D104" s="31">
        <v>19630</v>
      </c>
      <c r="E104" s="31">
        <v>2637</v>
      </c>
      <c r="F104" s="31">
        <v>8355</v>
      </c>
      <c r="G104" s="31">
        <v>27769</v>
      </c>
      <c r="H104" s="31">
        <v>4141</v>
      </c>
      <c r="I104" s="31">
        <v>8439</v>
      </c>
      <c r="J104" s="31">
        <v>3174</v>
      </c>
      <c r="K104" s="31">
        <v>14442</v>
      </c>
      <c r="L104" s="31">
        <v>23265</v>
      </c>
      <c r="M104" s="31">
        <v>6008</v>
      </c>
      <c r="N104" s="28">
        <f t="shared" si="5"/>
        <v>151578</v>
      </c>
      <c r="O104" s="23">
        <f t="shared" si="3"/>
        <v>8.6640581330352153E-3</v>
      </c>
    </row>
    <row r="105" spans="1:15" s="30" customFormat="1" ht="15" customHeight="1" x14ac:dyDescent="0.3">
      <c r="A105" s="19">
        <v>43922</v>
      </c>
      <c r="B105" s="31">
        <v>37608</v>
      </c>
      <c r="C105" s="31">
        <v>2657</v>
      </c>
      <c r="D105" s="31">
        <v>20059</v>
      </c>
      <c r="E105" s="31">
        <v>2571</v>
      </c>
      <c r="F105" s="31">
        <v>8077</v>
      </c>
      <c r="G105" s="31">
        <v>28056</v>
      </c>
      <c r="H105" s="31">
        <v>4087</v>
      </c>
      <c r="I105" s="31">
        <v>8419</v>
      </c>
      <c r="J105" s="31">
        <v>3174</v>
      </c>
      <c r="K105" s="31">
        <v>14405</v>
      </c>
      <c r="L105" s="31">
        <v>23329</v>
      </c>
      <c r="M105" s="31">
        <v>5969</v>
      </c>
      <c r="N105" s="28">
        <f t="shared" si="5"/>
        <v>158411</v>
      </c>
      <c r="O105" s="23">
        <f t="shared" si="3"/>
        <v>4.5079101188826874E-2</v>
      </c>
    </row>
    <row r="106" spans="1:15" s="30" customFormat="1" ht="15" customHeight="1" x14ac:dyDescent="0.3">
      <c r="A106" s="19">
        <v>43952</v>
      </c>
      <c r="B106" s="31">
        <v>40007</v>
      </c>
      <c r="C106" s="31">
        <v>2682</v>
      </c>
      <c r="D106" s="31">
        <v>20501</v>
      </c>
      <c r="E106" s="31">
        <v>2612</v>
      </c>
      <c r="F106" s="31">
        <v>8366</v>
      </c>
      <c r="G106" s="31">
        <v>28130</v>
      </c>
      <c r="H106" s="31">
        <v>4036</v>
      </c>
      <c r="I106" s="31">
        <v>8295</v>
      </c>
      <c r="J106" s="31">
        <v>3172</v>
      </c>
      <c r="K106" s="31">
        <v>14411</v>
      </c>
      <c r="L106" s="31">
        <v>23340</v>
      </c>
      <c r="M106" s="31">
        <v>5952</v>
      </c>
      <c r="N106" s="28">
        <f t="shared" si="5"/>
        <v>161504</v>
      </c>
      <c r="O106" s="23">
        <f t="shared" si="3"/>
        <v>1.9525159237679203E-2</v>
      </c>
    </row>
    <row r="107" spans="1:15" s="30" customFormat="1" ht="15" customHeight="1" x14ac:dyDescent="0.3">
      <c r="A107" s="19">
        <v>43983</v>
      </c>
      <c r="B107" s="31">
        <v>39651</v>
      </c>
      <c r="C107" s="31">
        <v>2835</v>
      </c>
      <c r="D107" s="31">
        <v>20211</v>
      </c>
      <c r="E107" s="31">
        <v>2717</v>
      </c>
      <c r="F107" s="31">
        <v>8452</v>
      </c>
      <c r="G107" s="31">
        <v>28082</v>
      </c>
      <c r="H107" s="31">
        <v>3933</v>
      </c>
      <c r="I107" s="31">
        <v>8303</v>
      </c>
      <c r="J107" s="31">
        <v>3150</v>
      </c>
      <c r="K107" s="31">
        <v>14591</v>
      </c>
      <c r="L107" s="31">
        <v>23324</v>
      </c>
      <c r="M107" s="31">
        <v>5979</v>
      </c>
      <c r="N107" s="28">
        <f t="shared" si="5"/>
        <v>161228</v>
      </c>
      <c r="O107" s="23">
        <f t="shared" si="3"/>
        <v>-1.7089360015851E-3</v>
      </c>
    </row>
    <row r="108" spans="1:15" s="30" customFormat="1" ht="15" customHeight="1" x14ac:dyDescent="0.3">
      <c r="A108" s="19">
        <v>44013</v>
      </c>
      <c r="B108" s="31">
        <v>37613</v>
      </c>
      <c r="C108" s="31">
        <v>2830</v>
      </c>
      <c r="D108" s="31">
        <v>20272</v>
      </c>
      <c r="E108" s="31">
        <v>2725</v>
      </c>
      <c r="F108" s="31">
        <v>8479</v>
      </c>
      <c r="G108" s="31">
        <v>27862</v>
      </c>
      <c r="H108" s="31">
        <v>3835</v>
      </c>
      <c r="I108" s="31">
        <v>8292</v>
      </c>
      <c r="J108" s="31">
        <v>3140</v>
      </c>
      <c r="K108" s="31">
        <v>14842</v>
      </c>
      <c r="L108" s="31">
        <v>23331</v>
      </c>
      <c r="M108" s="31">
        <v>5872</v>
      </c>
      <c r="N108" s="28">
        <f t="shared" si="5"/>
        <v>159093</v>
      </c>
      <c r="O108" s="23">
        <f t="shared" si="3"/>
        <v>-1.3242116753913713E-2</v>
      </c>
    </row>
    <row r="109" spans="1:15" s="30" customFormat="1" ht="15" customHeight="1" x14ac:dyDescent="0.3">
      <c r="A109" s="19">
        <v>44044</v>
      </c>
      <c r="B109" s="31">
        <v>35253</v>
      </c>
      <c r="C109" s="31">
        <v>2797</v>
      </c>
      <c r="D109" s="31">
        <v>20295</v>
      </c>
      <c r="E109" s="31">
        <v>2723</v>
      </c>
      <c r="F109" s="31">
        <v>8551</v>
      </c>
      <c r="G109" s="31">
        <v>27742</v>
      </c>
      <c r="H109" s="31">
        <v>3801</v>
      </c>
      <c r="I109" s="31">
        <v>8272</v>
      </c>
      <c r="J109" s="31">
        <v>3131</v>
      </c>
      <c r="K109" s="31">
        <v>14886</v>
      </c>
      <c r="L109" s="31">
        <v>23331</v>
      </c>
      <c r="M109" s="31">
        <v>5835</v>
      </c>
      <c r="N109" s="28">
        <f t="shared" si="5"/>
        <v>156617</v>
      </c>
      <c r="O109" s="23">
        <f t="shared" si="3"/>
        <v>-1.5563224026198513E-2</v>
      </c>
    </row>
    <row r="110" spans="1:15" s="30" customFormat="1" ht="15" customHeight="1" x14ac:dyDescent="0.3">
      <c r="A110" s="19">
        <v>44075</v>
      </c>
      <c r="B110" s="31">
        <v>34194</v>
      </c>
      <c r="C110" s="31">
        <v>2770</v>
      </c>
      <c r="D110" s="31">
        <v>20288</v>
      </c>
      <c r="E110" s="31">
        <v>2717</v>
      </c>
      <c r="F110" s="31">
        <v>8601</v>
      </c>
      <c r="G110" s="31">
        <v>27744</v>
      </c>
      <c r="H110" s="31">
        <v>3770</v>
      </c>
      <c r="I110" s="31">
        <v>8223</v>
      </c>
      <c r="J110" s="31">
        <v>3126</v>
      </c>
      <c r="K110" s="31">
        <v>15046</v>
      </c>
      <c r="L110" s="31">
        <v>23328</v>
      </c>
      <c r="M110" s="31">
        <v>5780</v>
      </c>
      <c r="N110" s="28">
        <f t="shared" si="5"/>
        <v>155587</v>
      </c>
      <c r="O110" s="23">
        <f t="shared" si="3"/>
        <v>-6.5765529923316112E-3</v>
      </c>
    </row>
    <row r="111" spans="1:15" s="30" customFormat="1" ht="15" customHeight="1" x14ac:dyDescent="0.3">
      <c r="A111" s="19">
        <v>44105</v>
      </c>
      <c r="B111" s="31">
        <v>33412</v>
      </c>
      <c r="C111" s="31">
        <v>2751</v>
      </c>
      <c r="D111" s="31">
        <v>19869</v>
      </c>
      <c r="E111" s="31">
        <v>2697</v>
      </c>
      <c r="F111" s="31">
        <v>8641</v>
      </c>
      <c r="G111" s="31">
        <v>27832</v>
      </c>
      <c r="H111" s="31">
        <v>3738</v>
      </c>
      <c r="I111" s="31">
        <v>8162</v>
      </c>
      <c r="J111" s="31">
        <v>3119</v>
      </c>
      <c r="K111" s="31">
        <v>14900</v>
      </c>
      <c r="L111" s="31">
        <v>23348</v>
      </c>
      <c r="M111" s="31">
        <v>5774</v>
      </c>
      <c r="N111" s="28">
        <f t="shared" si="5"/>
        <v>154243</v>
      </c>
      <c r="O111" s="23">
        <f t="shared" si="3"/>
        <v>-8.6382538386883222E-3</v>
      </c>
    </row>
    <row r="112" spans="1:15" s="30" customFormat="1" ht="15" customHeight="1" x14ac:dyDescent="0.3">
      <c r="A112" s="19">
        <v>44136</v>
      </c>
      <c r="B112" s="31">
        <v>30001</v>
      </c>
      <c r="C112" s="31">
        <v>2591</v>
      </c>
      <c r="D112" s="31">
        <v>19701</v>
      </c>
      <c r="E112" s="31">
        <v>2645</v>
      </c>
      <c r="F112" s="31">
        <v>8761</v>
      </c>
      <c r="G112" s="31">
        <v>27698</v>
      </c>
      <c r="H112" s="31">
        <v>3688</v>
      </c>
      <c r="I112" s="31">
        <v>8084</v>
      </c>
      <c r="J112" s="31">
        <v>3117</v>
      </c>
      <c r="K112" s="31">
        <v>14907</v>
      </c>
      <c r="L112" s="31">
        <v>23330</v>
      </c>
      <c r="M112" s="31">
        <v>5773</v>
      </c>
      <c r="N112" s="28">
        <f t="shared" si="5"/>
        <v>150296</v>
      </c>
      <c r="O112" s="23">
        <f t="shared" si="3"/>
        <v>-2.5589491905629428E-2</v>
      </c>
    </row>
    <row r="113" spans="1:15" s="30" customFormat="1" ht="15" customHeight="1" x14ac:dyDescent="0.3">
      <c r="A113" s="19">
        <v>44166</v>
      </c>
      <c r="B113" s="33">
        <f>B112-1554</f>
        <v>28447</v>
      </c>
      <c r="C113" s="33">
        <f>C112-19</f>
        <v>2572</v>
      </c>
      <c r="D113" s="33">
        <f>D112-86</f>
        <v>19615</v>
      </c>
      <c r="E113" s="33">
        <f>E112-4</f>
        <v>2641</v>
      </c>
      <c r="F113" s="33">
        <f>F112-36</f>
        <v>8725</v>
      </c>
      <c r="G113" s="33">
        <f>G112+64</f>
        <v>27762</v>
      </c>
      <c r="H113" s="33">
        <f>H112-20</f>
        <v>3668</v>
      </c>
      <c r="I113" s="33">
        <f>I112-61</f>
        <v>8023</v>
      </c>
      <c r="J113" s="33">
        <f>J112-27</f>
        <v>3090</v>
      </c>
      <c r="K113" s="33">
        <f>K112-82</f>
        <v>14825</v>
      </c>
      <c r="L113" s="33">
        <f>L112-123</f>
        <v>23207</v>
      </c>
      <c r="M113" s="33">
        <f>M112+38</f>
        <v>5811</v>
      </c>
      <c r="N113" s="28">
        <f t="shared" si="5"/>
        <v>148386</v>
      </c>
      <c r="O113" s="23">
        <f t="shared" si="3"/>
        <v>-1.2708255708734763E-2</v>
      </c>
    </row>
    <row r="114" spans="1:15" s="30" customFormat="1" ht="15" customHeight="1" x14ac:dyDescent="0.3">
      <c r="A114" s="19">
        <v>44197</v>
      </c>
      <c r="B114" s="33">
        <f>B113-827</f>
        <v>27620</v>
      </c>
      <c r="C114" s="33">
        <f>C113-10</f>
        <v>2562</v>
      </c>
      <c r="D114" s="33">
        <f>D113+7</f>
        <v>19622</v>
      </c>
      <c r="E114" s="33">
        <f>E113+46</f>
        <v>2687</v>
      </c>
      <c r="F114" s="33">
        <f>F113+79</f>
        <v>8804</v>
      </c>
      <c r="G114" s="33">
        <f>G113-98</f>
        <v>27664</v>
      </c>
      <c r="H114" s="33">
        <f>H113+35</f>
        <v>3703</v>
      </c>
      <c r="I114" s="33">
        <f>I113-1</f>
        <v>8022</v>
      </c>
      <c r="J114" s="33">
        <f>J113-4</f>
        <v>3086</v>
      </c>
      <c r="K114" s="33">
        <f>K113-59</f>
        <v>14766</v>
      </c>
      <c r="L114" s="33">
        <f>L113-117</f>
        <v>23090</v>
      </c>
      <c r="M114" s="33">
        <f>M113-12</f>
        <v>5799</v>
      </c>
      <c r="N114" s="28">
        <f t="shared" si="5"/>
        <v>147425</v>
      </c>
      <c r="O114" s="23">
        <f t="shared" si="3"/>
        <v>-6.4763522165163833E-3</v>
      </c>
    </row>
    <row r="115" spans="1:15" s="30" customFormat="1" ht="15" customHeight="1" x14ac:dyDescent="0.3">
      <c r="A115" s="19">
        <v>44228</v>
      </c>
      <c r="B115" s="33">
        <f>B114-2</f>
        <v>27618</v>
      </c>
      <c r="C115" s="33">
        <f>C114-16</f>
        <v>2546</v>
      </c>
      <c r="D115" s="33">
        <f>D114-65</f>
        <v>19557</v>
      </c>
      <c r="E115" s="33">
        <f>E114+5</f>
        <v>2692</v>
      </c>
      <c r="F115" s="33">
        <f>F114+75</f>
        <v>8879</v>
      </c>
      <c r="G115" s="33">
        <f>G114-63</f>
        <v>27601</v>
      </c>
      <c r="H115" s="33">
        <f>H114-19</f>
        <v>3684</v>
      </c>
      <c r="I115" s="33">
        <f>I114-83</f>
        <v>7939</v>
      </c>
      <c r="J115" s="33">
        <f>J114-55</f>
        <v>3031</v>
      </c>
      <c r="K115" s="33">
        <f>K114+105</f>
        <v>14871</v>
      </c>
      <c r="L115" s="33">
        <f>L114+102</f>
        <v>23192</v>
      </c>
      <c r="M115" s="33">
        <f>M114-13</f>
        <v>5786</v>
      </c>
      <c r="N115" s="28">
        <f t="shared" si="5"/>
        <v>147396</v>
      </c>
      <c r="O115" s="23">
        <f t="shared" si="3"/>
        <v>-1.9671019162285908E-4</v>
      </c>
    </row>
    <row r="116" spans="1:15" s="30" customFormat="1" ht="15" customHeight="1" x14ac:dyDescent="0.3">
      <c r="A116" s="19">
        <v>44256</v>
      </c>
      <c r="B116" s="33">
        <f>B115+2137</f>
        <v>29755</v>
      </c>
      <c r="C116" s="33">
        <f>C115+24</f>
        <v>2570</v>
      </c>
      <c r="D116" s="33">
        <f>D115+134</f>
        <v>19691</v>
      </c>
      <c r="E116" s="33">
        <f>E115-6</f>
        <v>2686</v>
      </c>
      <c r="F116" s="33">
        <f>F115+1</f>
        <v>8880</v>
      </c>
      <c r="G116" s="33">
        <f>G115-69</f>
        <v>27532</v>
      </c>
      <c r="H116" s="33">
        <f>H115-81</f>
        <v>3603</v>
      </c>
      <c r="I116" s="33">
        <f>I115-9</f>
        <v>7930</v>
      </c>
      <c r="J116" s="33">
        <f>J115-41</f>
        <v>2990</v>
      </c>
      <c r="K116" s="33">
        <f>K115-45</f>
        <v>14826</v>
      </c>
      <c r="L116" s="33">
        <f>L115+232</f>
        <v>23424</v>
      </c>
      <c r="M116" s="33">
        <f>M115-3</f>
        <v>5783</v>
      </c>
      <c r="N116" s="28">
        <f t="shared" si="5"/>
        <v>149670</v>
      </c>
      <c r="O116" s="23">
        <f t="shared" si="3"/>
        <v>1.5427827078075388E-2</v>
      </c>
    </row>
    <row r="117" spans="1:15" s="30" customFormat="1" ht="15" customHeight="1" x14ac:dyDescent="0.3">
      <c r="A117" s="19">
        <v>44287</v>
      </c>
      <c r="B117" s="33">
        <f>B116+4664</f>
        <v>34419</v>
      </c>
      <c r="C117" s="33">
        <f>C116+90</f>
        <v>2660</v>
      </c>
      <c r="D117" s="33">
        <f>D116+171</f>
        <v>19862</v>
      </c>
      <c r="E117" s="33">
        <f>E116-15</f>
        <v>2671</v>
      </c>
      <c r="F117" s="33">
        <f>F116+100</f>
        <v>8980</v>
      </c>
      <c r="G117" s="33">
        <f>G116+45</f>
        <v>27577</v>
      </c>
      <c r="H117" s="33">
        <f>H116-38</f>
        <v>3565</v>
      </c>
      <c r="I117" s="33">
        <f>I116-13</f>
        <v>7917</v>
      </c>
      <c r="J117" s="33">
        <f>J116-4</f>
        <v>2986</v>
      </c>
      <c r="K117" s="33">
        <f>K116+88</f>
        <v>14914</v>
      </c>
      <c r="L117" s="33">
        <f>L116+82</f>
        <v>23506</v>
      </c>
      <c r="M117" s="33">
        <f>M116+16</f>
        <v>5799</v>
      </c>
      <c r="N117" s="28">
        <f t="shared" si="5"/>
        <v>154856</v>
      </c>
      <c r="O117" s="23">
        <f t="shared" si="3"/>
        <v>3.4649562370548538E-2</v>
      </c>
    </row>
    <row r="118" spans="1:15" s="30" customFormat="1" ht="15" customHeight="1" x14ac:dyDescent="0.3">
      <c r="A118" s="19">
        <v>44317</v>
      </c>
      <c r="B118" s="33">
        <v>38576</v>
      </c>
      <c r="C118" s="33">
        <v>2769</v>
      </c>
      <c r="D118" s="33">
        <v>20219</v>
      </c>
      <c r="E118" s="33">
        <v>2634</v>
      </c>
      <c r="F118" s="33">
        <v>9152</v>
      </c>
      <c r="G118" s="33">
        <v>27525</v>
      </c>
      <c r="H118" s="33">
        <v>3513</v>
      </c>
      <c r="I118" s="33">
        <v>7991</v>
      </c>
      <c r="J118" s="33">
        <v>2985</v>
      </c>
      <c r="K118" s="33">
        <v>15128</v>
      </c>
      <c r="L118" s="33">
        <v>23587</v>
      </c>
      <c r="M118" s="33">
        <v>5806</v>
      </c>
      <c r="N118" s="28">
        <f t="shared" si="5"/>
        <v>159885</v>
      </c>
      <c r="O118" s="23">
        <f t="shared" si="3"/>
        <v>3.2475331921268794E-2</v>
      </c>
    </row>
    <row r="119" spans="1:15" s="30" customFormat="1" ht="15" customHeight="1" x14ac:dyDescent="0.3">
      <c r="A119" s="19">
        <v>44348</v>
      </c>
      <c r="B119" s="33">
        <f>B118+1877</f>
        <v>40453</v>
      </c>
      <c r="C119" s="33">
        <f>C118+247</f>
        <v>3016</v>
      </c>
      <c r="D119" s="33">
        <f>D118+552</f>
        <v>20771</v>
      </c>
      <c r="E119" s="33">
        <f>E118-13</f>
        <v>2621</v>
      </c>
      <c r="F119" s="33">
        <f>F118+100</f>
        <v>9252</v>
      </c>
      <c r="G119" s="33">
        <f>G118+16</f>
        <v>27541</v>
      </c>
      <c r="H119" s="33">
        <f>H118-31</f>
        <v>3482</v>
      </c>
      <c r="I119" s="33">
        <f>I118+60</f>
        <v>8051</v>
      </c>
      <c r="J119" s="33">
        <f>J118+10</f>
        <v>2995</v>
      </c>
      <c r="K119" s="33">
        <f>K118-30</f>
        <v>15098</v>
      </c>
      <c r="L119" s="33">
        <f>L118+1</f>
        <v>23588</v>
      </c>
      <c r="M119" s="33">
        <f>M118-26</f>
        <v>5780</v>
      </c>
      <c r="N119" s="28">
        <f t="shared" si="5"/>
        <v>162648</v>
      </c>
      <c r="O119" s="23">
        <f t="shared" si="3"/>
        <v>1.7281170841542359E-2</v>
      </c>
    </row>
    <row r="120" spans="1:15" s="30" customFormat="1" ht="15" customHeight="1" x14ac:dyDescent="0.3">
      <c r="A120" s="19">
        <v>44378</v>
      </c>
      <c r="B120" s="33">
        <f>B119+529</f>
        <v>40982</v>
      </c>
      <c r="C120" s="33">
        <f>C119-52</f>
        <v>2964</v>
      </c>
      <c r="D120" s="33">
        <f>D119-520</f>
        <v>20251</v>
      </c>
      <c r="E120" s="33">
        <f>E119+49</f>
        <v>2670</v>
      </c>
      <c r="F120" s="33">
        <f>F119+8</f>
        <v>9260</v>
      </c>
      <c r="G120" s="33">
        <f>G119-169</f>
        <v>27372</v>
      </c>
      <c r="H120" s="33">
        <f>H119-23</f>
        <v>3459</v>
      </c>
      <c r="I120" s="33">
        <f>I119-114</f>
        <v>7937</v>
      </c>
      <c r="J120" s="33">
        <f>J119+5</f>
        <v>3000</v>
      </c>
      <c r="K120" s="33">
        <f>K119+417</f>
        <v>15515</v>
      </c>
      <c r="L120" s="33">
        <f>L119-10</f>
        <v>23578</v>
      </c>
      <c r="M120" s="33">
        <f>M119-61</f>
        <v>5719</v>
      </c>
      <c r="N120" s="28">
        <f t="shared" si="5"/>
        <v>162707</v>
      </c>
      <c r="O120" s="23">
        <f t="shared" si="3"/>
        <v>3.627465446854557E-4</v>
      </c>
    </row>
    <row r="121" spans="1:15" s="30" customFormat="1" ht="15" customHeight="1" x14ac:dyDescent="0.3">
      <c r="A121" s="19">
        <v>44409</v>
      </c>
      <c r="B121" s="33">
        <f>B120-1458</f>
        <v>39524</v>
      </c>
      <c r="C121" s="33">
        <f>C120-61</f>
        <v>2903</v>
      </c>
      <c r="D121" s="33">
        <f>D120-266</f>
        <v>19985</v>
      </c>
      <c r="E121" s="33">
        <f>E120+6</f>
        <v>2676</v>
      </c>
      <c r="F121" s="33">
        <f>F120+50</f>
        <v>9310</v>
      </c>
      <c r="G121" s="33">
        <f>G120-96</f>
        <v>27276</v>
      </c>
      <c r="H121" s="33">
        <f>H120-15</f>
        <v>3444</v>
      </c>
      <c r="I121" s="33">
        <f>I120-45</f>
        <v>7892</v>
      </c>
      <c r="J121" s="33">
        <f>J120+0</f>
        <v>3000</v>
      </c>
      <c r="K121" s="33">
        <f>K120-73</f>
        <v>15442</v>
      </c>
      <c r="L121" s="33">
        <f>L120-46</f>
        <v>23532</v>
      </c>
      <c r="M121" s="33">
        <f>M120-60</f>
        <v>5659</v>
      </c>
      <c r="N121" s="28">
        <f t="shared" si="5"/>
        <v>160643</v>
      </c>
      <c r="O121" s="23">
        <f t="shared" si="3"/>
        <v>-1.2685379239983528E-2</v>
      </c>
    </row>
    <row r="122" spans="1:15" s="30" customFormat="1" ht="15" customHeight="1" x14ac:dyDescent="0.3">
      <c r="A122" s="19">
        <v>44440</v>
      </c>
      <c r="B122" s="33">
        <f>B121-2567</f>
        <v>36957</v>
      </c>
      <c r="C122" s="33">
        <f>C121-74</f>
        <v>2829</v>
      </c>
      <c r="D122" s="33">
        <f>D121-5</f>
        <v>19980</v>
      </c>
      <c r="E122" s="33">
        <f>E121+53</f>
        <v>2729</v>
      </c>
      <c r="F122" s="33">
        <f>F121+106</f>
        <v>9416</v>
      </c>
      <c r="G122" s="33">
        <f>G121-11</f>
        <v>27265</v>
      </c>
      <c r="H122" s="33">
        <f>H121-38</f>
        <v>3406</v>
      </c>
      <c r="I122" s="33">
        <f>I121-66</f>
        <v>7826</v>
      </c>
      <c r="J122" s="33">
        <f>J121-11</f>
        <v>2989</v>
      </c>
      <c r="K122" s="33">
        <f>K121-216</f>
        <v>15226</v>
      </c>
      <c r="L122" s="33">
        <f>L121+145</f>
        <v>23677</v>
      </c>
      <c r="M122" s="33">
        <f>M121+10</f>
        <v>5669</v>
      </c>
      <c r="N122" s="28">
        <f t="shared" si="5"/>
        <v>157969</v>
      </c>
      <c r="O122" s="23">
        <f t="shared" si="3"/>
        <v>-1.6645605473005361E-2</v>
      </c>
    </row>
    <row r="123" spans="1:15" s="30" customFormat="1" ht="15" customHeight="1" x14ac:dyDescent="0.3">
      <c r="A123" s="19">
        <v>44470</v>
      </c>
      <c r="B123" s="33">
        <f>B122-3133</f>
        <v>33824</v>
      </c>
      <c r="C123" s="33">
        <f>C122-140</f>
        <v>2689</v>
      </c>
      <c r="D123" s="33">
        <f>D122-170</f>
        <v>19810</v>
      </c>
      <c r="E123" s="33">
        <f>E122-18</f>
        <v>2711</v>
      </c>
      <c r="F123" s="33">
        <f>F122-1</f>
        <v>9415</v>
      </c>
      <c r="G123" s="33">
        <f>G122-13</f>
        <v>27252</v>
      </c>
      <c r="H123" s="33">
        <f>H122-26</f>
        <v>3380</v>
      </c>
      <c r="I123" s="33">
        <f>I122-322</f>
        <v>7504</v>
      </c>
      <c r="J123" s="33">
        <f>J122-7</f>
        <v>2982</v>
      </c>
      <c r="K123" s="33">
        <f>K122-311</f>
        <v>14915</v>
      </c>
      <c r="L123" s="33">
        <f>L122+67</f>
        <v>23744</v>
      </c>
      <c r="M123" s="33">
        <f>M122-3</f>
        <v>5666</v>
      </c>
      <c r="N123" s="28">
        <f t="shared" si="5"/>
        <v>153892</v>
      </c>
      <c r="O123" s="23">
        <f t="shared" si="3"/>
        <v>-2.580886123226709E-2</v>
      </c>
    </row>
    <row r="124" spans="1:15" s="30" customFormat="1" ht="15" customHeight="1" x14ac:dyDescent="0.3">
      <c r="A124" s="19">
        <v>44501</v>
      </c>
      <c r="B124" s="33">
        <f>B123-1944</f>
        <v>31880</v>
      </c>
      <c r="C124" s="33">
        <f>C123-194</f>
        <v>2495</v>
      </c>
      <c r="D124" s="33">
        <f>D123-119</f>
        <v>19691</v>
      </c>
      <c r="E124" s="33">
        <f>E123+49</f>
        <v>2760</v>
      </c>
      <c r="F124" s="33">
        <f>F123+179</f>
        <v>9594</v>
      </c>
      <c r="G124" s="33">
        <f>G123+110</f>
        <v>27362</v>
      </c>
      <c r="H124" s="33">
        <f>H123+21</f>
        <v>3401</v>
      </c>
      <c r="I124" s="33">
        <f>I123-122</f>
        <v>7382</v>
      </c>
      <c r="J124" s="33">
        <f>J123+5</f>
        <v>2987</v>
      </c>
      <c r="K124" s="33">
        <f>K123+46</f>
        <v>14961</v>
      </c>
      <c r="L124" s="33">
        <f>L123+161</f>
        <v>23905</v>
      </c>
      <c r="M124" s="33">
        <f>M123+7</f>
        <v>5673</v>
      </c>
      <c r="N124" s="28">
        <f t="shared" si="5"/>
        <v>152091</v>
      </c>
      <c r="O124" s="23">
        <f t="shared" si="3"/>
        <v>-1.1703012502274322E-2</v>
      </c>
    </row>
    <row r="125" spans="1:15" s="30" customFormat="1" ht="15" customHeight="1" x14ac:dyDescent="0.3">
      <c r="A125" s="19">
        <v>44531</v>
      </c>
      <c r="B125" s="33">
        <f>B124-437</f>
        <v>31443</v>
      </c>
      <c r="C125" s="33">
        <f>C124+14</f>
        <v>2509</v>
      </c>
      <c r="D125" s="33">
        <f>D124+91</f>
        <v>19782</v>
      </c>
      <c r="E125" s="33">
        <f>E124-56</f>
        <v>2704</v>
      </c>
      <c r="F125" s="33">
        <f>F124-93</f>
        <v>9501</v>
      </c>
      <c r="G125" s="33">
        <f>G124+90</f>
        <v>27452</v>
      </c>
      <c r="H125" s="33">
        <f>H124-1</f>
        <v>3400</v>
      </c>
      <c r="I125" s="33">
        <f>I124-38</f>
        <v>7344</v>
      </c>
      <c r="J125" s="33">
        <f>J124-6</f>
        <v>2981</v>
      </c>
      <c r="K125" s="33">
        <f>K124-182</f>
        <v>14779</v>
      </c>
      <c r="L125" s="33">
        <f>L124-181</f>
        <v>23724</v>
      </c>
      <c r="M125" s="33">
        <f>M124+4</f>
        <v>5677</v>
      </c>
      <c r="N125" s="28">
        <f t="shared" si="5"/>
        <v>151296</v>
      </c>
      <c r="O125" s="23">
        <f t="shared" si="3"/>
        <v>-5.2271337554490403E-3</v>
      </c>
    </row>
    <row r="126" spans="1:15" s="30" customFormat="1" ht="15" customHeight="1" x14ac:dyDescent="0.3">
      <c r="A126" s="19">
        <v>44562</v>
      </c>
      <c r="B126" s="33">
        <f>B125-629</f>
        <v>30814</v>
      </c>
      <c r="C126" s="33">
        <f>C125-5</f>
        <v>2504</v>
      </c>
      <c r="D126" s="33">
        <f>D125-61</f>
        <v>19721</v>
      </c>
      <c r="E126" s="33">
        <f>E125-7</f>
        <v>2697</v>
      </c>
      <c r="F126" s="33">
        <f>F125+158</f>
        <v>9659</v>
      </c>
      <c r="G126" s="33">
        <f>G125-88</f>
        <v>27364</v>
      </c>
      <c r="H126" s="33">
        <f>H125+52</f>
        <v>3452</v>
      </c>
      <c r="I126" s="33">
        <f>I125+40</f>
        <v>7384</v>
      </c>
      <c r="J126" s="33">
        <f>J125-6</f>
        <v>2975</v>
      </c>
      <c r="K126" s="33">
        <f>K125+330</f>
        <v>15109</v>
      </c>
      <c r="L126" s="33">
        <f>L125-59</f>
        <v>23665</v>
      </c>
      <c r="M126" s="33">
        <f>M125+38</f>
        <v>5715</v>
      </c>
      <c r="N126" s="28">
        <f t="shared" si="5"/>
        <v>151059</v>
      </c>
      <c r="O126" s="23">
        <f t="shared" si="3"/>
        <v>-1.5664657360406091E-3</v>
      </c>
    </row>
    <row r="127" spans="1:15" s="30" customFormat="1" ht="15" customHeight="1" x14ac:dyDescent="0.3">
      <c r="A127" s="19">
        <v>44593</v>
      </c>
      <c r="B127" s="33">
        <f>B126-448</f>
        <v>30366</v>
      </c>
      <c r="C127" s="33">
        <f>C126-16</f>
        <v>2488</v>
      </c>
      <c r="D127" s="33">
        <f>D126+161</f>
        <v>19882</v>
      </c>
      <c r="E127" s="33">
        <f>E126-27</f>
        <v>2670</v>
      </c>
      <c r="F127" s="33">
        <f>F126+21</f>
        <v>9680</v>
      </c>
      <c r="G127" s="33">
        <f>G126-154</f>
        <v>27210</v>
      </c>
      <c r="H127" s="33">
        <f>H126-23</f>
        <v>3429</v>
      </c>
      <c r="I127" s="33">
        <f>I126-41</f>
        <v>7343</v>
      </c>
      <c r="J127" s="33">
        <f>J126-7</f>
        <v>2968</v>
      </c>
      <c r="K127" s="33">
        <f>K126-136</f>
        <v>14973</v>
      </c>
      <c r="L127" s="33">
        <f>L126+152</f>
        <v>23817</v>
      </c>
      <c r="M127" s="33">
        <f>M126+29</f>
        <v>5744</v>
      </c>
      <c r="N127" s="28">
        <f t="shared" si="5"/>
        <v>150570</v>
      </c>
      <c r="O127" s="23">
        <f t="shared" si="3"/>
        <v>-3.2371457509979542E-3</v>
      </c>
    </row>
    <row r="128" spans="1:15" s="30" customFormat="1" ht="15" customHeight="1" x14ac:dyDescent="0.3">
      <c r="A128" s="34"/>
      <c r="B128" s="35"/>
      <c r="C128" s="35"/>
      <c r="D128" s="35"/>
      <c r="E128" s="35"/>
      <c r="F128" s="35"/>
      <c r="G128" s="35"/>
      <c r="H128" s="35"/>
      <c r="I128" s="35"/>
      <c r="J128" s="35"/>
      <c r="K128" s="35"/>
      <c r="L128" s="35"/>
      <c r="M128" s="35"/>
      <c r="N128" s="36"/>
      <c r="O128" s="37"/>
    </row>
    <row r="129" spans="1:15" s="30" customFormat="1" ht="15" customHeight="1" x14ac:dyDescent="0.3">
      <c r="A129" s="25" t="s">
        <v>17</v>
      </c>
      <c r="B129" s="38"/>
      <c r="C129" s="38"/>
      <c r="N129" s="36"/>
      <c r="O129" s="37"/>
    </row>
    <row r="130" spans="1:15" s="30" customFormat="1" ht="15" customHeight="1" x14ac:dyDescent="0.3">
      <c r="A130" s="43" t="s">
        <v>18</v>
      </c>
      <c r="B130" s="43"/>
      <c r="C130" s="43"/>
      <c r="D130" s="43"/>
      <c r="E130" s="43"/>
      <c r="F130" s="43"/>
      <c r="N130" s="32"/>
    </row>
    <row r="131" spans="1:15" s="30" customFormat="1" ht="15" customHeight="1" x14ac:dyDescent="0.3">
      <c r="A131" s="43"/>
      <c r="B131" s="43"/>
      <c r="C131" s="43"/>
      <c r="D131" s="43"/>
      <c r="E131" s="43"/>
      <c r="F131" s="43"/>
      <c r="N131" s="32"/>
    </row>
    <row r="132" spans="1:15" s="30" customFormat="1" ht="15" customHeight="1" x14ac:dyDescent="0.3">
      <c r="A132" s="43"/>
      <c r="B132" s="43"/>
      <c r="C132" s="43"/>
      <c r="D132" s="43"/>
      <c r="E132" s="43"/>
      <c r="F132" s="43"/>
      <c r="N132" s="32"/>
    </row>
    <row r="133" spans="1:15" s="30" customFormat="1" ht="15" customHeight="1" x14ac:dyDescent="0.3">
      <c r="A133" s="43"/>
      <c r="B133" s="43"/>
      <c r="C133" s="43"/>
      <c r="D133" s="43"/>
      <c r="E133" s="43"/>
      <c r="F133" s="43"/>
    </row>
    <row r="134" spans="1:15" s="30" customFormat="1" ht="15" customHeight="1" x14ac:dyDescent="0.3">
      <c r="A134" s="43"/>
      <c r="B134" s="43"/>
      <c r="C134" s="43"/>
      <c r="D134" s="43"/>
      <c r="E134" s="43"/>
      <c r="F134" s="43"/>
    </row>
    <row r="135" spans="1:15" s="30" customFormat="1" ht="15" customHeight="1" x14ac:dyDescent="0.3">
      <c r="A135" s="43"/>
      <c r="B135" s="43"/>
      <c r="C135" s="43"/>
      <c r="D135" s="43"/>
      <c r="E135" s="43"/>
      <c r="F135" s="43"/>
    </row>
    <row r="136" spans="1:15" s="30" customFormat="1" ht="15" customHeight="1" x14ac:dyDescent="0.3">
      <c r="A136" s="43"/>
      <c r="B136" s="43"/>
      <c r="C136" s="43"/>
      <c r="D136" s="43"/>
      <c r="E136" s="43"/>
      <c r="F136" s="43"/>
    </row>
    <row r="137" spans="1:15" s="30" customFormat="1" ht="15" customHeight="1" x14ac:dyDescent="0.3">
      <c r="A137" s="43"/>
      <c r="B137" s="43"/>
      <c r="C137" s="43"/>
      <c r="D137" s="43"/>
      <c r="E137" s="43"/>
      <c r="F137" s="43"/>
    </row>
    <row r="138" spans="1:15" s="30" customFormat="1" ht="15" customHeight="1" x14ac:dyDescent="0.3">
      <c r="A138" s="43"/>
      <c r="B138" s="43"/>
      <c r="C138" s="43"/>
      <c r="D138" s="43"/>
      <c r="E138" s="43"/>
      <c r="F138" s="43"/>
    </row>
    <row r="139" spans="1:15" s="30" customFormat="1" ht="15" customHeight="1" x14ac:dyDescent="0.3">
      <c r="A139" s="43"/>
      <c r="B139" s="43"/>
      <c r="C139" s="43"/>
      <c r="D139" s="43"/>
      <c r="E139" s="43"/>
      <c r="F139" s="43"/>
    </row>
    <row r="140" spans="1:15" s="30" customFormat="1" ht="15" customHeight="1" x14ac:dyDescent="0.3">
      <c r="A140" s="43"/>
      <c r="B140" s="43"/>
      <c r="C140" s="43"/>
      <c r="D140" s="43"/>
      <c r="E140" s="43"/>
      <c r="F140" s="43"/>
    </row>
    <row r="141" spans="1:15" s="30" customFormat="1" ht="15" customHeight="1" x14ac:dyDescent="0.3">
      <c r="A141" s="43"/>
      <c r="B141" s="43"/>
      <c r="C141" s="43"/>
      <c r="D141" s="43"/>
      <c r="E141" s="43"/>
      <c r="F141" s="43"/>
    </row>
    <row r="142" spans="1:15" s="30" customFormat="1" ht="0.75" customHeight="1" x14ac:dyDescent="0.3">
      <c r="A142" s="43"/>
      <c r="B142" s="43"/>
      <c r="C142" s="43"/>
      <c r="D142" s="43"/>
      <c r="E142" s="43"/>
      <c r="F142" s="43"/>
    </row>
    <row r="143" spans="1:15" s="30" customFormat="1" ht="18.75" customHeight="1" x14ac:dyDescent="0.3">
      <c r="A143" s="43"/>
      <c r="B143" s="43"/>
      <c r="C143" s="43"/>
      <c r="D143" s="43"/>
      <c r="E143" s="43"/>
      <c r="F143" s="43"/>
      <c r="I143" s="8"/>
      <c r="J143" s="8"/>
    </row>
    <row r="144" spans="1:15" s="30" customFormat="1" ht="18.75" customHeight="1" x14ac:dyDescent="0.3">
      <c r="A144" s="43"/>
      <c r="B144" s="43"/>
      <c r="C144" s="43"/>
      <c r="D144" s="43"/>
      <c r="E144" s="43"/>
      <c r="F144" s="43"/>
      <c r="G144" s="8"/>
      <c r="H144" s="8"/>
      <c r="I144" s="8"/>
      <c r="J144" s="8"/>
      <c r="K144" s="8"/>
      <c r="L144" s="8"/>
      <c r="M144" s="8"/>
    </row>
    <row r="145" spans="1:15" x14ac:dyDescent="0.3">
      <c r="A145" s="43"/>
      <c r="B145" s="43"/>
      <c r="C145" s="43"/>
      <c r="D145" s="43"/>
      <c r="E145" s="43"/>
      <c r="F145" s="43"/>
    </row>
    <row r="146" spans="1:15" ht="130.5" customHeight="1" x14ac:dyDescent="0.3">
      <c r="A146" s="43"/>
      <c r="B146" s="43"/>
      <c r="C146" s="43"/>
      <c r="D146" s="43"/>
      <c r="E146" s="43"/>
      <c r="F146" s="43"/>
    </row>
    <row r="147" spans="1:15" ht="15" customHeight="1" x14ac:dyDescent="0.3">
      <c r="A147" s="39"/>
      <c r="B147" s="40"/>
      <c r="C147" s="40"/>
      <c r="D147" s="40"/>
      <c r="E147" s="40"/>
      <c r="F147" s="40"/>
      <c r="G147" s="40"/>
      <c r="H147" s="40"/>
      <c r="I147" s="40"/>
      <c r="J147" s="40"/>
      <c r="K147" s="40"/>
      <c r="L147" s="40"/>
      <c r="M147" s="40"/>
      <c r="N147" s="40"/>
      <c r="O147" s="40"/>
    </row>
    <row r="148" spans="1:15" x14ac:dyDescent="0.3">
      <c r="A148" s="39"/>
      <c r="B148" s="41"/>
      <c r="C148" s="41"/>
    </row>
    <row r="149" spans="1:15" x14ac:dyDescent="0.3">
      <c r="A149" s="41"/>
      <c r="B149" s="41"/>
      <c r="C149" s="41"/>
    </row>
    <row r="150" spans="1:15" x14ac:dyDescent="0.3">
      <c r="A150" s="41"/>
      <c r="B150" s="41"/>
      <c r="C150" s="41"/>
    </row>
    <row r="151" spans="1:15" x14ac:dyDescent="0.3">
      <c r="A151" s="41"/>
      <c r="B151" s="41"/>
      <c r="C151" s="41"/>
    </row>
    <row r="152" spans="1:15" x14ac:dyDescent="0.3">
      <c r="A152" s="41"/>
    </row>
  </sheetData>
  <mergeCells count="2">
    <mergeCell ref="H1:J1"/>
    <mergeCell ref="A130:F146"/>
  </mergeCells>
  <pageMargins left="0.7" right="0.7" top="0.75" bottom="0.75" header="0.3" footer="0.3"/>
  <pageSetup orientation="portrait" horizontalDpi="4294967292"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Gráficos</vt:lpstr>
      </vt:variant>
      <vt:variant>
        <vt:i4>1</vt:i4>
      </vt:variant>
    </vt:vector>
  </HeadingPairs>
  <TitlesOfParts>
    <vt:vector size="2" baseType="lpstr">
      <vt:lpstr>Stock Empleados Registrados</vt:lpstr>
      <vt:lpstr>Evolución empleados registrados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Simón</dc:creator>
  <cp:lastModifiedBy>Simón</cp:lastModifiedBy>
  <dcterms:created xsi:type="dcterms:W3CDTF">2021-05-10T14:54:06Z</dcterms:created>
  <dcterms:modified xsi:type="dcterms:W3CDTF">2022-03-09T17:54:27Z</dcterms:modified>
</cp:coreProperties>
</file>